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chart15.xml" ContentType="application/vnd.openxmlformats-officedocument.drawingml.chart+xml"/>
  <Override PartName="/xl/charts/style14.xml" ContentType="application/vnd.ms-office.chartstyle+xml"/>
  <Override PartName="/xl/charts/colors14.xml" ContentType="application/vnd.ms-office.chartcolorstyle+xml"/>
  <Override PartName="/xl/charts/chart16.xml" ContentType="application/vnd.openxmlformats-officedocument.drawingml.chart+xml"/>
  <Override PartName="/xl/charts/style15.xml" ContentType="application/vnd.ms-office.chartstyle+xml"/>
  <Override PartName="/xl/charts/colors15.xml" ContentType="application/vnd.ms-office.chartcolorstyle+xml"/>
  <Override PartName="/xl/charts/chart17.xml" ContentType="application/vnd.openxmlformats-officedocument.drawingml.chart+xml"/>
  <Override PartName="/xl/charts/chart18.xml" ContentType="application/vnd.openxmlformats-officedocument.drawingml.chart+xml"/>
  <Override PartName="/xl/charts/style16.xml" ContentType="application/vnd.ms-office.chartstyle+xml"/>
  <Override PartName="/xl/charts/colors16.xml" ContentType="application/vnd.ms-office.chartcolorstyle+xml"/>
  <Override PartName="/xl/charts/chart19.xml" ContentType="application/vnd.openxmlformats-officedocument.drawingml.chart+xml"/>
  <Override PartName="/xl/charts/style17.xml" ContentType="application/vnd.ms-office.chartstyle+xml"/>
  <Override PartName="/xl/charts/colors17.xml" ContentType="application/vnd.ms-office.chartcolorstyle+xml"/>
  <Override PartName="/xl/charts/chart20.xml" ContentType="application/vnd.openxmlformats-officedocument.drawingml.chart+xml"/>
  <Override PartName="/xl/charts/style18.xml" ContentType="application/vnd.ms-office.chartstyle+xml"/>
  <Override PartName="/xl/charts/colors18.xml" ContentType="application/vnd.ms-office.chartcolorstyle+xml"/>
  <Override PartName="/xl/charts/chart21.xml" ContentType="application/vnd.openxmlformats-officedocument.drawingml.chart+xml"/>
  <Override PartName="/xl/charts/style19.xml" ContentType="application/vnd.ms-office.chartstyle+xml"/>
  <Override PartName="/xl/charts/colors19.xml" ContentType="application/vnd.ms-office.chartcolorstyle+xml"/>
  <Override PartName="/xl/charts/chart22.xml" ContentType="application/vnd.openxmlformats-officedocument.drawingml.chart+xml"/>
  <Override PartName="/xl/charts/style20.xml" ContentType="application/vnd.ms-office.chartstyle+xml"/>
  <Override PartName="/xl/charts/colors20.xml" ContentType="application/vnd.ms-office.chartcolorstyle+xml"/>
  <Override PartName="/xl/charts/chart23.xml" ContentType="application/vnd.openxmlformats-officedocument.drawingml.chart+xml"/>
  <Override PartName="/xl/charts/style21.xml" ContentType="application/vnd.ms-office.chartstyle+xml"/>
  <Override PartName="/xl/charts/colors21.xml" ContentType="application/vnd.ms-office.chartcolorstyle+xml"/>
  <Override PartName="/xl/charts/chart24.xml" ContentType="application/vnd.openxmlformats-officedocument.drawingml.chart+xml"/>
  <Override PartName="/xl/charts/style22.xml" ContentType="application/vnd.ms-office.chartstyle+xml"/>
  <Override PartName="/xl/charts/colors22.xml" ContentType="application/vnd.ms-office.chartcolorstyle+xml"/>
  <Override PartName="/xl/charts/chart25.xml" ContentType="application/vnd.openxmlformats-officedocument.drawingml.chart+xml"/>
  <Override PartName="/xl/charts/style23.xml" ContentType="application/vnd.ms-office.chartstyle+xml"/>
  <Override PartName="/xl/charts/colors23.xml" ContentType="application/vnd.ms-office.chartcolorstyle+xml"/>
  <Override PartName="/xl/charts/chart26.xml" ContentType="application/vnd.openxmlformats-officedocument.drawingml.chart+xml"/>
  <Override PartName="/xl/charts/style24.xml" ContentType="application/vnd.ms-office.chartstyle+xml"/>
  <Override PartName="/xl/charts/colors24.xml" ContentType="application/vnd.ms-office.chartcolorstyle+xml"/>
  <Override PartName="/xl/charts/chart27.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4.xml" ContentType="application/vnd.openxmlformats-officedocument.drawing+xml"/>
  <Override PartName="/xl/comments3.xml" ContentType="application/vnd.openxmlformats-officedocument.spreadsheetml.comments+xml"/>
  <Override PartName="/xl/pivotTables/pivotTable1.xml" ContentType="application/vnd.openxmlformats-officedocument.spreadsheetml.pivotTable+xml"/>
  <Override PartName="/xl/drawings/drawing5.xml" ContentType="application/vnd.openxmlformats-officedocument.drawing+xml"/>
  <Override PartName="/xl/charts/chart28.xml" ContentType="application/vnd.openxmlformats-officedocument.drawingml.chart+xml"/>
  <Override PartName="/xl/pivotTables/pivotTable2.xml" ContentType="application/vnd.openxmlformats-officedocument.spreadsheetml.pivotTable+xml"/>
  <Override PartName="/xl/drawings/drawing6.xml" ContentType="application/vnd.openxmlformats-officedocument.drawing+xml"/>
  <Override PartName="/xl/charts/chart29.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codeName="ThisWorkbook"/>
  <mc:AlternateContent xmlns:mc="http://schemas.openxmlformats.org/markup-compatibility/2006">
    <mc:Choice Requires="x15">
      <x15ac:absPath xmlns:x15ac="http://schemas.microsoft.com/office/spreadsheetml/2010/11/ac" url="/Users/fb/Desktop/"/>
    </mc:Choice>
  </mc:AlternateContent>
  <xr:revisionPtr revIDLastSave="0" documentId="8_{3C9C0BA8-4C0A-4E0E-82E7-1EEAB79D1B2F}" xr6:coauthVersionLast="47" xr6:coauthVersionMax="47" xr10:uidLastSave="{00000000-0000-0000-0000-000000000000}"/>
  <bookViews>
    <workbookView xWindow="0" yWindow="660" windowWidth="23420" windowHeight="14640" tabRatio="827" xr2:uid="{00000000-000D-0000-FFFF-FFFF00000000}"/>
  </bookViews>
  <sheets>
    <sheet name="Process Overview" sheetId="23" r:id="rId1"/>
    <sheet name="Instructions" sheetId="21" r:id="rId2"/>
    <sheet name="Self-Assessment " sheetId="22" r:id="rId3"/>
    <sheet name="HR Database (optional)" sheetId="15" r:id="rId4"/>
    <sheet name="Inputs (optional)" sheetId="16" r:id="rId5"/>
    <sheet name="Guide" sheetId="5" state="hidden" r:id="rId6"/>
    <sheet name="Key Gender Metrics" sheetId="17" r:id="rId7"/>
    <sheet name="Guide " sheetId="27" r:id="rId8"/>
    <sheet name="Dashboard" sheetId="18" r:id="rId9"/>
    <sheet name="Progress Tracker" sheetId="20" r:id="rId10"/>
    <sheet name="Assumptions &amp; Classifications" sheetId="26" r:id="rId11"/>
    <sheet name="Glossary" sheetId="25" r:id="rId12"/>
    <sheet name="List" sheetId="19" r:id="rId13"/>
    <sheet name="Gender Responsive Implementer" sheetId="3" state="hidden" r:id="rId14"/>
    <sheet name="Internal Data" sheetId="6" state="hidden" r:id="rId15"/>
    <sheet name="Brainstorming" sheetId="9" state="hidden" r:id="rId16"/>
    <sheet name="On Hold" sheetId="10" state="hidden" r:id="rId17"/>
    <sheet name="Alternative Data Collection" sheetId="11" state="hidden" r:id="rId18"/>
    <sheet name="Pivot Table 3" sheetId="12" state="hidden" r:id="rId19"/>
    <sheet name="Pivot Table 2" sheetId="13" state="hidden" r:id="rId20"/>
  </sheets>
  <definedNames>
    <definedName name="_xlnm._FilterDatabase" localSheetId="7" hidden="1">'Guide '!$A$2:$R$79</definedName>
    <definedName name="_xlnm._FilterDatabase" localSheetId="3" hidden="1">'HR Database (optional)'!$C$2:$L$33</definedName>
    <definedName name="_xlnm._FilterDatabase" localSheetId="6" hidden="1">'Key Gender Metrics'!$A$4:$I$60</definedName>
    <definedName name="_xlnm.Print_Area" localSheetId="8">Dashboard!$A$1:$M$132</definedName>
    <definedName name="_xlnm.Print_Area" localSheetId="5">Guide!$A$1:$R$37</definedName>
    <definedName name="_xlnm.Print_Area" localSheetId="7">'Guide '!$A$1:$R$80</definedName>
    <definedName name="_xlnm.Print_Area" localSheetId="4">'Inputs (optional)'!$A$1:$J$86</definedName>
    <definedName name="MetricsTable">'Internal Data'!$B:$M</definedName>
  </definedNames>
  <calcPr calcId="191028"/>
  <pivotCaches>
    <pivotCache cacheId="0" r:id="rId21"/>
    <pivotCache cacheId="1" r:id="rId2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7" i="17" l="1"/>
  <c r="F59" i="17"/>
  <c r="F60" i="17"/>
  <c r="F50" i="17"/>
  <c r="F51" i="17"/>
  <c r="F54" i="17"/>
  <c r="F46" i="17"/>
  <c r="F47" i="17"/>
  <c r="F48" i="17"/>
  <c r="F31" i="17"/>
  <c r="F35" i="17"/>
  <c r="F36" i="17"/>
  <c r="F37" i="17"/>
  <c r="F38" i="17"/>
  <c r="F39" i="17"/>
  <c r="F40" i="17"/>
  <c r="F41" i="17"/>
  <c r="F42" i="17"/>
  <c r="F43" i="17"/>
  <c r="F79" i="16"/>
  <c r="F78" i="16" s="1"/>
  <c r="F53" i="17" s="1"/>
  <c r="F81" i="16"/>
  <c r="F80" i="16" s="1"/>
  <c r="F44" i="16" a="1"/>
  <c r="E2" i="22"/>
  <c r="F55" i="17" l="1"/>
  <c r="F52" i="17"/>
  <c r="E1" i="22"/>
  <c r="A14" i="20" l="1"/>
  <c r="A13" i="20"/>
  <c r="C14" i="16" a="1"/>
  <c r="C42" i="16" a="1"/>
  <c r="J2" i="15"/>
  <c r="A16" i="20" l="1"/>
  <c r="F9" i="22" a="1"/>
  <c r="F1" i="22" s="1"/>
  <c r="F10" i="22" l="1"/>
  <c r="A25" i="20"/>
  <c r="A24" i="20"/>
  <c r="A23" i="20"/>
  <c r="A20" i="20"/>
  <c r="A21" i="20"/>
  <c r="A19" i="20"/>
  <c r="A17" i="20"/>
  <c r="A12" i="20"/>
  <c r="A11" i="20"/>
  <c r="A3" i="20"/>
  <c r="A9" i="20"/>
  <c r="A8" i="20"/>
  <c r="A7" i="20"/>
  <c r="A6" i="20"/>
  <c r="A5" i="20"/>
  <c r="A4" i="20"/>
  <c r="B2" i="17" l="1"/>
  <c r="F2" i="22"/>
  <c r="A131" i="18"/>
  <c r="A130" i="18"/>
  <c r="A129" i="18"/>
  <c r="A128" i="18"/>
  <c r="E116" i="18"/>
  <c r="E117" i="18"/>
  <c r="E118" i="18"/>
  <c r="E121" i="18"/>
  <c r="A124" i="18"/>
  <c r="A117" i="18"/>
  <c r="A118" i="18"/>
  <c r="A119" i="18"/>
  <c r="A120" i="18"/>
  <c r="A116" i="18"/>
  <c r="A115" i="18"/>
  <c r="C79" i="16"/>
  <c r="C78" i="16" s="1"/>
  <c r="C81" i="16"/>
  <c r="C80" i="16" s="1"/>
  <c r="D81" i="16"/>
  <c r="D80" i="16" s="1"/>
  <c r="E81" i="16"/>
  <c r="E80" i="16" s="1"/>
  <c r="D79" i="16"/>
  <c r="D78" i="16" s="1"/>
  <c r="D53" i="17" s="1"/>
  <c r="E79" i="16"/>
  <c r="E78" i="16" s="1"/>
  <c r="A21" i="18"/>
  <c r="C4" i="17"/>
  <c r="B20" i="18" s="1"/>
  <c r="B13" i="18" l="1"/>
  <c r="B64" i="18"/>
  <c r="B37" i="18"/>
  <c r="B75" i="18"/>
  <c r="B91" i="18"/>
  <c r="B49" i="18"/>
  <c r="B78" i="18"/>
  <c r="B4" i="18"/>
  <c r="B34" i="18"/>
  <c r="B102" i="18"/>
  <c r="L5" i="17"/>
  <c r="B7" i="18"/>
  <c r="B10" i="18"/>
  <c r="C20" i="16" l="1" a="1"/>
  <c r="C24" i="16" a="1"/>
  <c r="D31" i="17"/>
  <c r="C115" i="18" s="1"/>
  <c r="E31" i="17"/>
  <c r="D115" i="18" s="1"/>
  <c r="C31" i="17"/>
  <c r="B115" i="18" s="1"/>
  <c r="D35" i="17"/>
  <c r="C116" i="18" s="1"/>
  <c r="E35" i="17"/>
  <c r="D116" i="18" s="1"/>
  <c r="D36" i="17"/>
  <c r="C117" i="18" s="1"/>
  <c r="E36" i="17"/>
  <c r="D117" i="18" s="1"/>
  <c r="D37" i="17"/>
  <c r="C118" i="18" s="1"/>
  <c r="E37" i="17"/>
  <c r="D118" i="18" s="1"/>
  <c r="D38" i="17"/>
  <c r="C119" i="18" s="1"/>
  <c r="E38" i="17"/>
  <c r="D119" i="18" s="1"/>
  <c r="D39" i="17"/>
  <c r="C120" i="18" s="1"/>
  <c r="E39" i="17"/>
  <c r="D120" i="18" s="1"/>
  <c r="D40" i="17"/>
  <c r="C121" i="18" s="1"/>
  <c r="E40" i="17"/>
  <c r="D121" i="18" s="1"/>
  <c r="D41" i="17"/>
  <c r="C122" i="18" s="1"/>
  <c r="E41" i="17"/>
  <c r="D122" i="18" s="1"/>
  <c r="D42" i="17"/>
  <c r="C123" i="18" s="1"/>
  <c r="E42" i="17"/>
  <c r="D123" i="18" s="1"/>
  <c r="D43" i="17"/>
  <c r="C124" i="18" s="1"/>
  <c r="E43" i="17"/>
  <c r="D124" i="18" s="1"/>
  <c r="D48" i="17"/>
  <c r="C128" i="18" s="1"/>
  <c r="E48" i="17"/>
  <c r="D128" i="18" s="1"/>
  <c r="D57" i="17"/>
  <c r="C129" i="18" s="1"/>
  <c r="E57" i="17"/>
  <c r="D129" i="18" s="1"/>
  <c r="D59" i="17"/>
  <c r="C130" i="18" s="1"/>
  <c r="E59" i="17"/>
  <c r="D130" i="18" s="1"/>
  <c r="D60" i="17"/>
  <c r="C131" i="18" s="1"/>
  <c r="E60" i="17"/>
  <c r="D131" i="18" s="1"/>
  <c r="C60" i="17"/>
  <c r="B131" i="18" s="1"/>
  <c r="C59" i="17"/>
  <c r="B130" i="18" s="1"/>
  <c r="C57" i="17"/>
  <c r="B129" i="18" s="1"/>
  <c r="C48" i="17"/>
  <c r="B128" i="18" s="1"/>
  <c r="C43" i="17"/>
  <c r="B124" i="18" s="1"/>
  <c r="C42" i="17"/>
  <c r="B123" i="18" s="1"/>
  <c r="C41" i="17"/>
  <c r="B122" i="18" s="1"/>
  <c r="C40" i="17"/>
  <c r="B121" i="18" s="1"/>
  <c r="C39" i="17"/>
  <c r="B120" i="18" s="1"/>
  <c r="C38" i="17"/>
  <c r="B119" i="18" s="1"/>
  <c r="C37" i="17"/>
  <c r="B118" i="18" s="1"/>
  <c r="C36" i="17"/>
  <c r="B117" i="18" s="1"/>
  <c r="C35" i="17"/>
  <c r="B116" i="18" s="1"/>
  <c r="D54" i="17"/>
  <c r="D55" i="17" s="1"/>
  <c r="C103" i="18" s="1"/>
  <c r="E54" i="17"/>
  <c r="C54" i="17"/>
  <c r="E53" i="17"/>
  <c r="C53" i="17"/>
  <c r="D51" i="17"/>
  <c r="E51" i="17"/>
  <c r="C51" i="17"/>
  <c r="D50" i="17"/>
  <c r="E50" i="17"/>
  <c r="C50" i="17"/>
  <c r="D47" i="17"/>
  <c r="C79" i="18" s="1"/>
  <c r="E47" i="17"/>
  <c r="C47" i="17"/>
  <c r="C78" i="18" s="1"/>
  <c r="D46" i="17"/>
  <c r="C76" i="18" s="1"/>
  <c r="E46" i="17"/>
  <c r="C46" i="17"/>
  <c r="C75" i="18" s="1"/>
  <c r="D4" i="17"/>
  <c r="C30" i="16"/>
  <c r="C31" i="16"/>
  <c r="C37" i="16" a="1"/>
  <c r="E44" i="16" a="1"/>
  <c r="D44" i="16" a="1"/>
  <c r="C44" i="16" a="1"/>
  <c r="C39" i="16" a="1"/>
  <c r="C35" i="16" a="1"/>
  <c r="C32" i="16" a="1"/>
  <c r="C28" i="16" a="1"/>
  <c r="C26" i="16" a="1"/>
  <c r="C25" i="16" a="1"/>
  <c r="C22" i="16" a="1"/>
  <c r="C18" i="16" a="1"/>
  <c r="C16" i="16" a="1"/>
  <c r="C12" i="16" a="1"/>
  <c r="C40" i="16" a="1"/>
  <c r="C38" i="16" a="1"/>
  <c r="C36" i="16" a="1"/>
  <c r="C33" i="16" a="1"/>
  <c r="C29" i="16" a="1"/>
  <c r="C27" i="16" a="1"/>
  <c r="C23" i="16" a="1"/>
  <c r="C21" i="16" a="1"/>
  <c r="C19" i="16" a="1"/>
  <c r="C17" i="16" a="1"/>
  <c r="C15" i="16" a="1"/>
  <c r="C13" i="16" a="1"/>
  <c r="C64" i="18" l="1"/>
  <c r="C20" i="18"/>
  <c r="E55" i="17"/>
  <c r="D103" i="18" s="1"/>
  <c r="C34" i="17"/>
  <c r="B65" i="18" s="1"/>
  <c r="C22" i="17"/>
  <c r="C77" i="18"/>
  <c r="B23" i="20"/>
  <c r="C23" i="20" s="1"/>
  <c r="C80" i="18"/>
  <c r="B24" i="20"/>
  <c r="C24" i="20" s="1"/>
  <c r="B76" i="18"/>
  <c r="B38" i="18"/>
  <c r="B35" i="18"/>
  <c r="C49" i="18"/>
  <c r="B79" i="18"/>
  <c r="C91" i="18"/>
  <c r="C102" i="18"/>
  <c r="C55" i="17"/>
  <c r="B103" i="18" s="1"/>
  <c r="C24" i="17"/>
  <c r="C25" i="17"/>
  <c r="C21" i="17"/>
  <c r="M5" i="17"/>
  <c r="L11" i="17"/>
  <c r="D10" i="18" s="1"/>
  <c r="L12" i="17"/>
  <c r="D7" i="18" s="1"/>
  <c r="L13" i="17"/>
  <c r="D4" i="18" s="1"/>
  <c r="L7" i="17"/>
  <c r="L10" i="17"/>
  <c r="L9" i="17"/>
  <c r="D13" i="18" s="1"/>
  <c r="L8" i="17"/>
  <c r="E4" i="17"/>
  <c r="D20" i="18" s="1"/>
  <c r="B8" i="18"/>
  <c r="B11" i="18"/>
  <c r="B14" i="18"/>
  <c r="B5" i="18"/>
  <c r="C58" i="17"/>
  <c r="C12" i="17"/>
  <c r="C33" i="17"/>
  <c r="C8" i="17"/>
  <c r="C28" i="17"/>
  <c r="B50" i="18" s="1"/>
  <c r="C9" i="17"/>
  <c r="C15" i="17"/>
  <c r="C16" i="17"/>
  <c r="C11" i="17"/>
  <c r="C10" i="18" s="1"/>
  <c r="C10" i="17"/>
  <c r="C17" i="17"/>
  <c r="C29" i="17"/>
  <c r="B51" i="18" s="1"/>
  <c r="C20" i="17"/>
  <c r="E52" i="17"/>
  <c r="D92" i="18" s="1"/>
  <c r="D52" i="17"/>
  <c r="C92" i="18" s="1"/>
  <c r="C32" i="17"/>
  <c r="C52" i="17"/>
  <c r="B92" i="18" s="1"/>
  <c r="C13" i="17"/>
  <c r="C7" i="17"/>
  <c r="D8" i="16"/>
  <c r="D43" i="16" l="1" a="1"/>
  <c r="D45" i="16" a="1"/>
  <c r="D29" i="17" s="1"/>
  <c r="C51" i="18" s="1"/>
  <c r="D34" i="18"/>
  <c r="D37" i="18"/>
  <c r="C34" i="18"/>
  <c r="C26" i="17"/>
  <c r="C37" i="18"/>
  <c r="C23" i="17"/>
  <c r="B2" i="20"/>
  <c r="B18" i="20"/>
  <c r="D64" i="18"/>
  <c r="B15" i="20"/>
  <c r="B10" i="20"/>
  <c r="B22" i="20"/>
  <c r="D102" i="18"/>
  <c r="B36" i="18"/>
  <c r="B80" i="18"/>
  <c r="D91" i="18"/>
  <c r="D49" i="18"/>
  <c r="B77" i="18"/>
  <c r="B39" i="18"/>
  <c r="D42" i="16" a="1"/>
  <c r="N5" i="17"/>
  <c r="D24" i="16" a="1"/>
  <c r="B9" i="18"/>
  <c r="B15" i="18"/>
  <c r="B12" i="18"/>
  <c r="B6" i="18"/>
  <c r="C13" i="18"/>
  <c r="C4" i="18"/>
  <c r="C7" i="18"/>
  <c r="C18" i="17"/>
  <c r="B21" i="18" s="1"/>
  <c r="D31" i="16"/>
  <c r="D30" i="16"/>
  <c r="E8" i="16"/>
  <c r="F8" i="16" s="1"/>
  <c r="D37" i="16" a="1"/>
  <c r="D28" i="16" a="1"/>
  <c r="D14" i="16" a="1"/>
  <c r="D23" i="16" a="1"/>
  <c r="D21" i="16" a="1"/>
  <c r="D18" i="16" a="1"/>
  <c r="D38" i="16" a="1"/>
  <c r="D35" i="16" a="1"/>
  <c r="D26" i="16" a="1"/>
  <c r="D12" i="16" a="1"/>
  <c r="D29" i="16" a="1"/>
  <c r="D22" i="16" a="1"/>
  <c r="D32" i="16" a="1"/>
  <c r="D16" i="16" a="1"/>
  <c r="D27" i="16" a="1"/>
  <c r="D15" i="16" a="1"/>
  <c r="D40" i="16" a="1"/>
  <c r="D39" i="16" a="1"/>
  <c r="D25" i="16" a="1"/>
  <c r="D19" i="16" a="1"/>
  <c r="D33" i="16" a="1"/>
  <c r="D13" i="16" a="1"/>
  <c r="D17" i="16" a="1"/>
  <c r="D20" i="16" a="1"/>
  <c r="D36" i="16" a="1"/>
  <c r="F35" i="16" l="1" a="1"/>
  <c r="F13" i="16" a="1"/>
  <c r="F19" i="16" a="1"/>
  <c r="F27" i="16" a="1"/>
  <c r="F45" i="16" a="1"/>
  <c r="F29" i="17" s="1"/>
  <c r="F36" i="16" a="1"/>
  <c r="F14" i="16" a="1"/>
  <c r="F8" i="17" s="1"/>
  <c r="F20" i="16" a="1"/>
  <c r="F11" i="17" s="1"/>
  <c r="F28" i="16" a="1"/>
  <c r="F33" i="17" s="1"/>
  <c r="F21" i="16" a="1"/>
  <c r="F29" i="16" a="1"/>
  <c r="F15" i="16" a="1"/>
  <c r="F30" i="16"/>
  <c r="F16" i="16" a="1"/>
  <c r="F31" i="16"/>
  <c r="F24" i="16" a="1"/>
  <c r="F13" i="17" s="1"/>
  <c r="F26" i="16" a="1"/>
  <c r="F32" i="17" s="1"/>
  <c r="F37" i="16" a="1"/>
  <c r="F22" i="16" a="1"/>
  <c r="F23" i="16" a="1"/>
  <c r="F12" i="16" a="1"/>
  <c r="F42" i="16" a="1"/>
  <c r="F38" i="16" a="1"/>
  <c r="F33" i="16" a="1"/>
  <c r="F43" i="16" a="1"/>
  <c r="F39" i="16" a="1"/>
  <c r="F17" i="16" a="1"/>
  <c r="F32" i="16" a="1"/>
  <c r="F40" i="16" a="1"/>
  <c r="F18" i="16" a="1"/>
  <c r="F10" i="17" s="1"/>
  <c r="F25" i="16" a="1"/>
  <c r="D28" i="17"/>
  <c r="C50" i="18" s="1"/>
  <c r="E43" i="16" a="1"/>
  <c r="E45" i="16" a="1"/>
  <c r="E29" i="17" s="1"/>
  <c r="D34" i="17"/>
  <c r="C65" i="18" s="1"/>
  <c r="D22" i="17"/>
  <c r="E42" i="16" a="1"/>
  <c r="D21" i="17"/>
  <c r="D24" i="17"/>
  <c r="D25" i="17"/>
  <c r="M13" i="17"/>
  <c r="D5" i="18" s="1"/>
  <c r="E24" i="16" a="1"/>
  <c r="M11" i="17"/>
  <c r="D11" i="18" s="1"/>
  <c r="M12" i="17"/>
  <c r="D8" i="18" s="1"/>
  <c r="M7" i="17"/>
  <c r="M9" i="17"/>
  <c r="D14" i="18" s="1"/>
  <c r="M8" i="17"/>
  <c r="M10" i="17"/>
  <c r="D20" i="17"/>
  <c r="D58" i="17"/>
  <c r="D12" i="17"/>
  <c r="D17" i="17"/>
  <c r="D32" i="17"/>
  <c r="D7" i="17"/>
  <c r="D8" i="17"/>
  <c r="D15" i="17"/>
  <c r="D33" i="17"/>
  <c r="D16" i="17"/>
  <c r="D13" i="17"/>
  <c r="D11" i="17"/>
  <c r="D9" i="17"/>
  <c r="D10" i="17"/>
  <c r="E31" i="16"/>
  <c r="E30" i="16"/>
  <c r="E33" i="16" a="1"/>
  <c r="E29" i="16" a="1"/>
  <c r="E35" i="16" a="1"/>
  <c r="E26" i="16" a="1"/>
  <c r="E12" i="16" a="1"/>
  <c r="E22" i="16" a="1"/>
  <c r="E18" i="16" a="1"/>
  <c r="E21" i="16" a="1"/>
  <c r="E39" i="16" a="1"/>
  <c r="E36" i="16" a="1"/>
  <c r="E14" i="16" a="1"/>
  <c r="E28" i="16" a="1"/>
  <c r="E17" i="16" a="1"/>
  <c r="E32" i="16" a="1"/>
  <c r="E20" i="16" a="1"/>
  <c r="E16" i="16" a="1"/>
  <c r="E40" i="16" a="1"/>
  <c r="E27" i="16" a="1"/>
  <c r="E15" i="16" a="1"/>
  <c r="E19" i="16" a="1"/>
  <c r="E38" i="16" a="1"/>
  <c r="E23" i="16" a="1"/>
  <c r="E25" i="16" a="1"/>
  <c r="E37" i="16" a="1"/>
  <c r="E13" i="16" a="1"/>
  <c r="F17" i="17" l="1"/>
  <c r="F28" i="17"/>
  <c r="E21" i="17"/>
  <c r="F21" i="17"/>
  <c r="F9" i="17"/>
  <c r="F7" i="17"/>
  <c r="F34" i="17"/>
  <c r="F20" i="17"/>
  <c r="F58" i="17"/>
  <c r="F22" i="17"/>
  <c r="F25" i="17"/>
  <c r="F12" i="17"/>
  <c r="E24" i="17"/>
  <c r="C36" i="18" s="1"/>
  <c r="F24" i="17"/>
  <c r="F16" i="17"/>
  <c r="F15" i="17"/>
  <c r="F18" i="17" s="1"/>
  <c r="E22" i="17"/>
  <c r="E28" i="17"/>
  <c r="D50" i="18" s="1"/>
  <c r="E34" i="17"/>
  <c r="D65" i="18" s="1"/>
  <c r="D35" i="18"/>
  <c r="D38" i="18"/>
  <c r="C35" i="18"/>
  <c r="D26" i="17"/>
  <c r="C38" i="18"/>
  <c r="D23" i="17"/>
  <c r="C39" i="18"/>
  <c r="D51" i="18"/>
  <c r="B17" i="20"/>
  <c r="C17" i="20" s="1"/>
  <c r="E25" i="17"/>
  <c r="D39" i="18" s="1"/>
  <c r="N13" i="17"/>
  <c r="D6" i="18" s="1"/>
  <c r="N7" i="17"/>
  <c r="N11" i="17"/>
  <c r="D12" i="18" s="1"/>
  <c r="N12" i="17"/>
  <c r="D9" i="18" s="1"/>
  <c r="N10" i="17"/>
  <c r="N8" i="17"/>
  <c r="N9" i="17"/>
  <c r="D15" i="18" s="1"/>
  <c r="C15" i="18"/>
  <c r="C11" i="18"/>
  <c r="C5" i="18"/>
  <c r="C8" i="18"/>
  <c r="D18" i="17"/>
  <c r="C21" i="18" s="1"/>
  <c r="E11" i="17"/>
  <c r="B7" i="20" s="1"/>
  <c r="C7" i="20" s="1"/>
  <c r="E58" i="17"/>
  <c r="B25" i="20" s="1"/>
  <c r="C25" i="20" s="1"/>
  <c r="E33" i="17"/>
  <c r="E16" i="17"/>
  <c r="E9" i="17"/>
  <c r="B5" i="20" s="1"/>
  <c r="C5" i="20" s="1"/>
  <c r="E7" i="17"/>
  <c r="B3" i="20" s="1"/>
  <c r="C3" i="20" s="1"/>
  <c r="E20" i="17"/>
  <c r="E10" i="17"/>
  <c r="B6" i="20" s="1"/>
  <c r="C6" i="20" s="1"/>
  <c r="E13" i="17"/>
  <c r="E12" i="17"/>
  <c r="B8" i="20" s="1"/>
  <c r="C8" i="20" s="1"/>
  <c r="E8" i="17"/>
  <c r="B4" i="20" s="1"/>
  <c r="C4" i="20" s="1"/>
  <c r="E32" i="17"/>
  <c r="B19" i="20" s="1"/>
  <c r="C19" i="20" s="1"/>
  <c r="E15" i="17"/>
  <c r="E17" i="17"/>
  <c r="B44" i="11"/>
  <c r="K6" i="11"/>
  <c r="M15" i="6"/>
  <c r="L15" i="6"/>
  <c r="K15" i="6"/>
  <c r="J15" i="6"/>
  <c r="I15" i="6"/>
  <c r="H15" i="6"/>
  <c r="G15" i="6"/>
  <c r="F15" i="6"/>
  <c r="E15" i="6"/>
  <c r="D15" i="6"/>
  <c r="C15" i="6"/>
  <c r="B15" i="6"/>
  <c r="A15" i="6"/>
  <c r="M14" i="6"/>
  <c r="L14" i="6"/>
  <c r="K14" i="6"/>
  <c r="J14" i="6"/>
  <c r="I14" i="6"/>
  <c r="H14" i="6"/>
  <c r="G14" i="6"/>
  <c r="F14" i="6"/>
  <c r="E14" i="6"/>
  <c r="D14" i="6"/>
  <c r="C14" i="6"/>
  <c r="B14" i="6"/>
  <c r="A14" i="6"/>
  <c r="M13" i="6"/>
  <c r="L13" i="6"/>
  <c r="K13" i="6"/>
  <c r="J13" i="6"/>
  <c r="I13" i="6"/>
  <c r="H13" i="6"/>
  <c r="G13" i="6"/>
  <c r="F13" i="6"/>
  <c r="E13" i="6"/>
  <c r="D13" i="6"/>
  <c r="C13" i="6"/>
  <c r="B13" i="6"/>
  <c r="A13" i="6"/>
  <c r="M12" i="6"/>
  <c r="L12" i="6"/>
  <c r="K12" i="6"/>
  <c r="J12" i="6"/>
  <c r="I12" i="6"/>
  <c r="H12" i="6"/>
  <c r="G12" i="6"/>
  <c r="F12" i="6"/>
  <c r="E12" i="6"/>
  <c r="D12" i="6"/>
  <c r="C12" i="6"/>
  <c r="B12" i="6"/>
  <c r="A12" i="6"/>
  <c r="M11" i="6"/>
  <c r="L11" i="6"/>
  <c r="K11" i="6"/>
  <c r="J11" i="6"/>
  <c r="I11" i="6"/>
  <c r="H11" i="6"/>
  <c r="G11" i="6"/>
  <c r="F11" i="6"/>
  <c r="E11" i="6"/>
  <c r="D11" i="6"/>
  <c r="C11" i="6"/>
  <c r="B11" i="6"/>
  <c r="A11" i="6"/>
  <c r="M10" i="6"/>
  <c r="L10" i="6"/>
  <c r="K10" i="6"/>
  <c r="J10" i="6"/>
  <c r="I10" i="6"/>
  <c r="H10" i="6"/>
  <c r="G10" i="6"/>
  <c r="F10" i="6"/>
  <c r="E10" i="6"/>
  <c r="D10" i="6"/>
  <c r="C10" i="6"/>
  <c r="B10" i="6"/>
  <c r="A10" i="6"/>
  <c r="M9" i="6"/>
  <c r="L9" i="6"/>
  <c r="K9" i="6"/>
  <c r="J9" i="6"/>
  <c r="I9" i="6"/>
  <c r="H9" i="6"/>
  <c r="G9" i="6"/>
  <c r="F9" i="6"/>
  <c r="E9" i="6"/>
  <c r="D9" i="6"/>
  <c r="C9" i="6"/>
  <c r="B9" i="6"/>
  <c r="A9" i="6"/>
  <c r="M8" i="6"/>
  <c r="L8" i="6"/>
  <c r="K8" i="6"/>
  <c r="J8" i="6"/>
  <c r="I8" i="6"/>
  <c r="H8" i="6"/>
  <c r="G8" i="6"/>
  <c r="F8" i="6"/>
  <c r="E8" i="6"/>
  <c r="D8" i="6"/>
  <c r="C8" i="6"/>
  <c r="B8" i="6"/>
  <c r="A8" i="6"/>
  <c r="M7" i="6"/>
  <c r="L7" i="6"/>
  <c r="K7" i="6"/>
  <c r="J7" i="6"/>
  <c r="I7" i="6"/>
  <c r="H7" i="6"/>
  <c r="G7" i="6"/>
  <c r="F7" i="6"/>
  <c r="E7" i="6"/>
  <c r="D7" i="6"/>
  <c r="C7" i="6"/>
  <c r="B7" i="6"/>
  <c r="A7" i="6"/>
  <c r="M6" i="6"/>
  <c r="L6" i="6"/>
  <c r="K6" i="6"/>
  <c r="J6" i="6"/>
  <c r="I6" i="6"/>
  <c r="H6" i="6"/>
  <c r="G6" i="6"/>
  <c r="F6" i="6"/>
  <c r="E6" i="6"/>
  <c r="D6" i="6"/>
  <c r="C6" i="6"/>
  <c r="B6" i="6"/>
  <c r="A6" i="6"/>
  <c r="M3" i="6"/>
  <c r="L3" i="6"/>
  <c r="K3" i="6"/>
  <c r="J3" i="6"/>
  <c r="I3" i="6"/>
  <c r="H3" i="6"/>
  <c r="G3" i="6"/>
  <c r="F3" i="6"/>
  <c r="E3" i="6"/>
  <c r="D3" i="6"/>
  <c r="C3" i="6"/>
  <c r="B3" i="6"/>
  <c r="A3" i="6"/>
  <c r="M2" i="6"/>
  <c r="L2" i="6"/>
  <c r="K2" i="6"/>
  <c r="J2" i="6"/>
  <c r="I2" i="6"/>
  <c r="H2" i="6"/>
  <c r="G2" i="6"/>
  <c r="F2" i="6"/>
  <c r="E2" i="6"/>
  <c r="D2" i="6"/>
  <c r="C2" i="6"/>
  <c r="B2" i="6"/>
  <c r="A2" i="6"/>
  <c r="E23" i="17" l="1"/>
  <c r="B13" i="20" s="1"/>
  <c r="C13" i="20" s="1"/>
  <c r="F26" i="17"/>
  <c r="F23" i="17"/>
  <c r="B16" i="20"/>
  <c r="C16" i="20" s="1"/>
  <c r="E26" i="17"/>
  <c r="B14" i="20" s="1"/>
  <c r="C14" i="20" s="1"/>
  <c r="D36" i="18"/>
  <c r="C6" i="18"/>
  <c r="B9" i="20"/>
  <c r="C9" i="20" s="1"/>
  <c r="B21" i="20"/>
  <c r="C21" i="20" s="1"/>
  <c r="B20" i="20"/>
  <c r="C20" i="20" s="1"/>
  <c r="B12" i="20"/>
  <c r="C12" i="20" s="1"/>
  <c r="C14" i="18"/>
  <c r="C9" i="18"/>
  <c r="C12" i="18"/>
  <c r="E18" i="17"/>
  <c r="D21" i="18" l="1"/>
  <c r="B11" i="20"/>
  <c r="C11" i="20" s="1"/>
  <c r="F45" i="16"/>
  <c r="E45" i="16"/>
  <c r="D45" i="16"/>
  <c r="F44" i="16"/>
  <c r="E44" i="16"/>
  <c r="D44" i="16"/>
  <c r="C44" i="16"/>
  <c r="F43" i="16"/>
  <c r="E43" i="16"/>
  <c r="D43" i="16"/>
  <c r="F42" i="16"/>
  <c r="E42" i="16"/>
  <c r="D42" i="16"/>
  <c r="C42" i="16"/>
  <c r="F40" i="16"/>
  <c r="E40" i="16"/>
  <c r="D40" i="16"/>
  <c r="C40" i="16"/>
  <c r="F39" i="16"/>
  <c r="E39" i="16"/>
  <c r="D39" i="16"/>
  <c r="C39" i="16"/>
  <c r="F38" i="16"/>
  <c r="E38" i="16"/>
  <c r="D38" i="16"/>
  <c r="C38" i="16"/>
  <c r="F37" i="16"/>
  <c r="E37" i="16"/>
  <c r="D37" i="16"/>
  <c r="C37" i="16"/>
  <c r="F36" i="16"/>
  <c r="E36" i="16"/>
  <c r="D36" i="16"/>
  <c r="C36" i="16"/>
  <c r="F35" i="16"/>
  <c r="E35" i="16"/>
  <c r="D35" i="16"/>
  <c r="C35" i="16"/>
  <c r="F33" i="16"/>
  <c r="E33" i="16"/>
  <c r="D33" i="16"/>
  <c r="C33" i="16"/>
  <c r="F32" i="16"/>
  <c r="E32" i="16"/>
  <c r="D32" i="16"/>
  <c r="C32" i="16"/>
  <c r="F29" i="16"/>
  <c r="E29" i="16"/>
  <c r="D29" i="16"/>
  <c r="C29" i="16"/>
  <c r="F28" i="16"/>
  <c r="E28" i="16"/>
  <c r="D28" i="16"/>
  <c r="C28" i="16"/>
  <c r="F27" i="16"/>
  <c r="E27" i="16"/>
  <c r="D27" i="16"/>
  <c r="C27" i="16"/>
  <c r="F26" i="16"/>
  <c r="E26" i="16"/>
  <c r="D26" i="16"/>
  <c r="C26" i="16"/>
  <c r="F25" i="16"/>
  <c r="E25" i="16"/>
  <c r="D25" i="16"/>
  <c r="C25" i="16"/>
  <c r="F24" i="16"/>
  <c r="E24" i="16"/>
  <c r="D24" i="16"/>
  <c r="C24" i="16"/>
  <c r="F23" i="16"/>
  <c r="E23" i="16"/>
  <c r="D23" i="16"/>
  <c r="C23" i="16"/>
  <c r="F22" i="16"/>
  <c r="E22" i="16"/>
  <c r="D22" i="16"/>
  <c r="C22" i="16"/>
  <c r="F21" i="16"/>
  <c r="E21" i="16"/>
  <c r="D21" i="16"/>
  <c r="C21" i="16"/>
  <c r="F20" i="16"/>
  <c r="E20" i="16"/>
  <c r="D20" i="16"/>
  <c r="C20" i="16"/>
  <c r="F19" i="16"/>
  <c r="E19" i="16"/>
  <c r="D19" i="16"/>
  <c r="C19" i="16"/>
  <c r="F18" i="16"/>
  <c r="E18" i="16"/>
  <c r="D18" i="16"/>
  <c r="C18" i="16"/>
  <c r="F17" i="16"/>
  <c r="E17" i="16"/>
  <c r="D17" i="16"/>
  <c r="C17" i="16"/>
  <c r="F16" i="16"/>
  <c r="E16" i="16"/>
  <c r="D16" i="16"/>
  <c r="C16" i="16"/>
  <c r="F15" i="16"/>
  <c r="E15" i="16"/>
  <c r="D15" i="16"/>
  <c r="C15" i="16"/>
  <c r="F14" i="16"/>
  <c r="E14" i="16"/>
  <c r="D14" i="16"/>
  <c r="C14" i="16"/>
  <c r="F13" i="16"/>
  <c r="E13" i="16"/>
  <c r="D13" i="16"/>
  <c r="C13" i="16"/>
  <c r="F12" i="16"/>
  <c r="E12" i="16"/>
  <c r="D12" i="16"/>
  <c r="C12" i="16"/>
  <c r="F9"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R9" authorId="0" shapeId="0" xr:uid="{00000000-0006-0000-0400-000001000000}">
      <text>
        <r>
          <rPr>
            <sz val="10"/>
            <color rgb="FF000000"/>
            <rFont val="Arial"/>
            <family val="2"/>
            <scheme val="minor"/>
          </rPr>
          <t>Need to change the sources here @aanchal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R17" authorId="0" shapeId="0" xr:uid="{20EE0436-9808-4B63-924D-ED6395710AA4}">
      <text>
        <r>
          <rPr>
            <sz val="10"/>
            <color rgb="FF000000"/>
            <rFont val="Arial"/>
            <family val="2"/>
            <scheme val="minor"/>
          </rPr>
          <t>Need to change the sources here @aanchal</t>
        </r>
      </text>
    </comment>
    <comment ref="R18" authorId="0" shapeId="0" xr:uid="{97BBFB7D-709C-48DE-9C31-DAF3FB878FFB}">
      <text>
        <r>
          <rPr>
            <sz val="10"/>
            <color rgb="FF000000"/>
            <rFont val="Arial"/>
            <family val="2"/>
            <scheme val="minor"/>
          </rPr>
          <t>Need to change the sources here @aanchal</t>
        </r>
      </text>
    </comment>
    <comment ref="R19" authorId="0" shapeId="0" xr:uid="{2A94366A-4D2A-4EAF-8DA9-644336964B5E}">
      <text>
        <r>
          <rPr>
            <sz val="10"/>
            <color rgb="FF000000"/>
            <rFont val="Arial"/>
            <family val="2"/>
            <scheme val="minor"/>
          </rPr>
          <t>Need to change the sources here @aanchal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T8" authorId="0" shapeId="0" xr:uid="{00000000-0006-0000-0200-000001000000}">
      <text>
        <r>
          <rPr>
            <sz val="10"/>
            <color rgb="FF000000"/>
            <rFont val="Arial"/>
            <family val="2"/>
            <scheme val="minor"/>
          </rPr>
          <t>Need to change the sources here @aanchal</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<sst xmlns="http://schemas.openxmlformats.org/spreadsheetml/2006/main" count="2539" uniqueCount="938">
  <si>
    <t>Instruction for Gender Adaption Toolkit</t>
  </si>
  <si>
    <t>Portfolio companies without a formalized HR database or audit can use this tool to establish and formalize their HR data, enabling them to subsequently identify gaps and implement targeted strategies to address these gaps. 
Portfolio companies with existing formalized HR databases can bypass optional steps to identify gaps and develop effective, targeted action plans.</t>
  </si>
  <si>
    <t>Phase</t>
  </si>
  <si>
    <t>Step</t>
  </si>
  <si>
    <t>Tab</t>
  </si>
  <si>
    <t>What to Do</t>
  </si>
  <si>
    <t>Diagnostics</t>
  </si>
  <si>
    <t>Self-Assessment</t>
  </si>
  <si>
    <t>Select your current practice level; review your Toolkit Adoption Category</t>
  </si>
  <si>
    <t>Data Collection and Consolidation</t>
  </si>
  <si>
    <r>
      <t xml:space="preserve">2 </t>
    </r>
    <r>
      <rPr>
        <i/>
        <sz val="10"/>
        <color rgb="FF000000"/>
        <rFont val="Arial"/>
        <family val="2"/>
        <scheme val="minor"/>
      </rPr>
      <t>(Optional)</t>
    </r>
  </si>
  <si>
    <t>HR Database</t>
  </si>
  <si>
    <t>Enter employee data if you don’t have a formal HR system</t>
  </si>
  <si>
    <r>
      <t xml:space="preserve">3 </t>
    </r>
    <r>
      <rPr>
        <i/>
        <sz val="10"/>
        <color rgb="FF000000"/>
        <rFont val="Arial"/>
        <family val="2"/>
        <scheme val="minor"/>
      </rPr>
      <t>(Optional)</t>
    </r>
  </si>
  <si>
    <t>Inputs</t>
  </si>
  <si>
    <t>Fill missing data (or all data if not using HR Database tab)</t>
  </si>
  <si>
    <t>Evaluation &amp; Visualization
Target Setting &amp; Strategy Development</t>
  </si>
  <si>
    <t>Key Gender Metrics</t>
  </si>
  <si>
    <t>Compare performance to benchmarks; set internal targets</t>
  </si>
  <si>
    <t>Guide</t>
  </si>
  <si>
    <t>Review actions, expected impact, and sources per indicator</t>
  </si>
  <si>
    <t>Dashboard</t>
  </si>
  <si>
    <t>View visuals, monitor trends, prepare reports</t>
  </si>
  <si>
    <t>Board Presentation (a stand-alone PowerPoint)</t>
  </si>
  <si>
    <t>Customize slides; add visuals from Dashboard and actions from Guide</t>
  </si>
  <si>
    <t>Action plan</t>
  </si>
  <si>
    <t>Not included</t>
  </si>
  <si>
    <t>Gender Strategy (Word)</t>
  </si>
  <si>
    <t>Data Consolidation</t>
  </si>
  <si>
    <t>Conduct assessment in 'Self-Assessment' tab</t>
  </si>
  <si>
    <t xml:space="preserve">Self-Assessment </t>
  </si>
  <si>
    <t>Respond to questions in the 'Total Points' column by selecting the category that best represents your portfolio company</t>
  </si>
  <si>
    <t>Provide justification in the 'Justification (optional)' column</t>
  </si>
  <si>
    <t>Review the Toolkit Adoption Category</t>
  </si>
  <si>
    <t>Maintain HR Database (Optional) tab</t>
  </si>
  <si>
    <t>(optional)</t>
  </si>
  <si>
    <t>HR Database (optional)</t>
  </si>
  <si>
    <t>This tab is optional and aims to assist companies without internal HR database.</t>
  </si>
  <si>
    <t>Enter and maintain employee data in this tab</t>
  </si>
  <si>
    <t>Enter the missing information in 'Inputs (Optional)' tab</t>
  </si>
  <si>
    <t>Inputs (optional)</t>
  </si>
  <si>
    <t xml:space="preserve">This tab is optional and aims to assist companies without internal HR data analysis tools. </t>
  </si>
  <si>
    <t>If HR Database (optional) is maintained, fill the missing information (25% of total data). If not, enter all required information</t>
  </si>
  <si>
    <t>Evaluation &amp; Visualization</t>
  </si>
  <si>
    <t>Evaluate the progress in 'Assessment Guide Output' tab</t>
  </si>
  <si>
    <t>Use this tab to evaluate your performance across different time periods.</t>
  </si>
  <si>
    <t xml:space="preserve">Benchmark levels are the global average. </t>
  </si>
  <si>
    <t>Evaluate the performance against targets (compare the latest year column with the 'Benchmark' column)</t>
  </si>
  <si>
    <t>Set internal achievable targets in the 'Internal Target' column</t>
  </si>
  <si>
    <t>Review the 'Guide' tab</t>
  </si>
  <si>
    <t xml:space="preserve">Review the Guide for 'Recommended Actions', 'Expected Impact' &amp; 'Sources' columns </t>
  </si>
  <si>
    <t>Review the Dashboard and Progress Tracker tab</t>
  </si>
  <si>
    <t>Progress Tracker</t>
  </si>
  <si>
    <t>Review and update visuals as needed</t>
  </si>
  <si>
    <t>Action Planning</t>
  </si>
  <si>
    <t>Update the Board Presentation</t>
  </si>
  <si>
    <t>Review and amend the presentation as per the portfolio company</t>
  </si>
  <si>
    <t>Add supporting information from the Expected Impact and Sources columns in the Guide</t>
  </si>
  <si>
    <t>Use the visuals from the Dashboard &amp; Progress Tracker</t>
  </si>
  <si>
    <t>Present to the Board and relevant departments for approvals</t>
  </si>
  <si>
    <t>Update the  Action Planning Presentation (optional)</t>
  </si>
  <si>
    <t>Based on the metrics approved by the Board and relevant departments, update the action plan presentation</t>
  </si>
  <si>
    <t>Use information from the Guide and other tabs and documents for action planning</t>
  </si>
  <si>
    <t>Document the Gender Strategy</t>
  </si>
  <si>
    <t>Amend the Gender Strategy word document based on the action plan</t>
  </si>
  <si>
    <t>Question</t>
  </si>
  <si>
    <t>Gender-Aware Adopter 
(1 Point)</t>
  </si>
  <si>
    <t>Gender-Responsive Implementer 
(2 Points)</t>
  </si>
  <si>
    <t>Gender Equity Advocate 
(3 Points)</t>
  </si>
  <si>
    <t>Gender Equity Leader
(4 Points)</t>
  </si>
  <si>
    <t>Total Points</t>
  </si>
  <si>
    <r>
      <t xml:space="preserve">Justification 
</t>
    </r>
    <r>
      <rPr>
        <b/>
        <sz val="8"/>
        <color rgb="FFFFFFFF"/>
        <rFont val="Montserrat"/>
      </rPr>
      <t>(Optional)</t>
    </r>
  </si>
  <si>
    <t>1. How does your company approach gender diversity in leadership and workforce policies?</t>
  </si>
  <si>
    <r>
      <t xml:space="preserve">We recognize the importance of gender equity but have </t>
    </r>
    <r>
      <rPr>
        <b/>
        <sz val="10"/>
        <color rgb="FF000000"/>
        <rFont val="Montserrat"/>
      </rPr>
      <t>no formal policies.</t>
    </r>
  </si>
  <si>
    <r>
      <t xml:space="preserve">We have gender diversity policies but </t>
    </r>
    <r>
      <rPr>
        <b/>
        <sz val="10"/>
        <color rgb="FF000000"/>
        <rFont val="Montserrat"/>
      </rPr>
      <t>find it challenging to operationalize.</t>
    </r>
  </si>
  <si>
    <r>
      <t xml:space="preserve">We </t>
    </r>
    <r>
      <rPr>
        <b/>
        <sz val="10"/>
        <color rgb="FF000000"/>
        <rFont val="Montserrat"/>
      </rPr>
      <t xml:space="preserve">embed gender equity </t>
    </r>
    <r>
      <rPr>
        <sz val="10"/>
        <color rgb="FF000000"/>
        <rFont val="Montserrat"/>
      </rPr>
      <t>in leadership, hiring, and governance.</t>
    </r>
  </si>
  <si>
    <r>
      <t xml:space="preserve">We are industry leaders in gender inclusion, </t>
    </r>
    <r>
      <rPr>
        <b/>
        <sz val="10"/>
        <color rgb="FF000000"/>
        <rFont val="Montserrat"/>
      </rPr>
      <t>influencing policy and industry benchmarks.</t>
    </r>
  </si>
  <si>
    <t>Gender-Aware Adopter</t>
  </si>
  <si>
    <t>2. How does your company track gender-related workforce and leadership data?</t>
  </si>
  <si>
    <t>We do not track gender-disaggregated workforce or leadership data.</t>
  </si>
  <si>
    <r>
      <rPr>
        <sz val="10"/>
        <color rgb="FF000000"/>
        <rFont val="Montserrat"/>
      </rPr>
      <t xml:space="preserve">We track </t>
    </r>
    <r>
      <rPr>
        <i/>
        <sz val="10"/>
        <color rgb="FF000000"/>
        <rFont val="Montserrat"/>
      </rPr>
      <t>some</t>
    </r>
    <r>
      <rPr>
        <sz val="10"/>
        <color rgb="FF000000"/>
        <rFont val="Montserrat"/>
      </rPr>
      <t xml:space="preserve"> workforce gender data (e.g., representation) but lack detailed insights.</t>
    </r>
  </si>
  <si>
    <r>
      <rPr>
        <sz val="10"/>
        <color rgb="FF000000"/>
        <rFont val="Montserrat"/>
      </rPr>
      <t xml:space="preserve">We conduct </t>
    </r>
    <r>
      <rPr>
        <i/>
        <sz val="10"/>
        <color rgb="FF000000"/>
        <rFont val="Montserrat"/>
      </rPr>
      <t xml:space="preserve">gender audits* </t>
    </r>
    <r>
      <rPr>
        <sz val="10"/>
        <color rgb="FF000000"/>
        <rFont val="Montserrat"/>
      </rPr>
      <t>to systematically track all relevant gender data** and are able to analyze the same for insights (e.g., promotions, pay equity, retention).</t>
    </r>
  </si>
  <si>
    <t>We transparently report gender impact and integrate it into investment and business decisions.</t>
  </si>
  <si>
    <t>Gender Equity Leader</t>
  </si>
  <si>
    <t>3. To what extent does your company promote career growth and leadership opportunities for women?</t>
  </si>
  <si>
    <t>We currently do not have structured programs to support women's career progression.</t>
  </si>
  <si>
    <t>We have mentorship and leadership development programs designed specifically for women.</t>
  </si>
  <si>
    <t>We have structured leadership, mentorship, and sponsorship programs for women and conduct gender-neutral*** evaluations for promotions.</t>
  </si>
  <si>
    <t>We have a gender-balanced leadership including significant representation by women as program directors, board and executive members responsible for key business and policy decisions.</t>
  </si>
  <si>
    <t>Gender-Responsive Implementer</t>
  </si>
  <si>
    <t>4. How does your company integrate gender considerations into external business practices (e.g., supply chains, investments, partnerships)?</t>
  </si>
  <si>
    <t>We primarily focus on internal diversity efforts to ensure equal participation or opportunity.</t>
  </si>
  <si>
    <t>We encourage gender diversity among partners through the value chain through intentional communication and collaborations.</t>
  </si>
  <si>
    <t>We enforce gender-lens strategies in business partnerships, procurement, and supplier diversity through defined policies.</t>
  </si>
  <si>
    <t>We lead gender-focused impact initiatives in the industry such as convening workshops, discussion forum and influence regional or international policy frameworks on gender integration.</t>
  </si>
  <si>
    <t>5. Does your company align with international gender equity frameworks like the 2X Challenge, UN SDG 5, or Gender-Lens Investing (GLI) best practices?</t>
  </si>
  <si>
    <t>We are not currently aligned with any global gender equity frameworks.</t>
  </si>
  <si>
    <t>We have started aligning with gender-lens frameworks internally through business strategy and monitoring results but do not have policies for enforcement.</t>
  </si>
  <si>
    <t>We actively integrate global gender frameworks into our business strategy, monitoring results and include the same in our investor reports.</t>
  </si>
  <si>
    <t>We are recognized as a leader in global gender impact investing and policy advocacy through our partnerships with international organizations working on gender and finance such as the 2X global, UN, Women's World Banking etc.</t>
  </si>
  <si>
    <t>Total Score</t>
  </si>
  <si>
    <t>Toolkit Adoption Category</t>
  </si>
  <si>
    <t>See Categorization Rubric Here</t>
  </si>
  <si>
    <t>Score</t>
  </si>
  <si>
    <t>Description</t>
  </si>
  <si>
    <t xml:space="preserve">5 - 8 </t>
  </si>
  <si>
    <t xml:space="preserve">This category is for MFIs and banks who recognize gender equity as an important factor of their organization's mission, but do not yet have a robust, operational gender strategy. </t>
  </si>
  <si>
    <t>9 - 12</t>
  </si>
  <si>
    <r>
      <t xml:space="preserve">MFIs and banks in this category are characterized as having gender diversity policies, but </t>
    </r>
    <r>
      <rPr>
        <b/>
        <sz val="10"/>
        <color theme="1"/>
        <rFont val="Montserrat"/>
      </rPr>
      <t xml:space="preserve">lack the resources or capability to facilitate them. </t>
    </r>
  </si>
  <si>
    <t>Gender Equity Advocate</t>
  </si>
  <si>
    <t xml:space="preserve">13 - 16 </t>
  </si>
  <si>
    <t xml:space="preserve">This category is for MFIs and banks who are actively implementing equitable gender policies, but are still seeking additional opportunities to include international gender equity standards. </t>
  </si>
  <si>
    <t xml:space="preserve">17 - 20 </t>
  </si>
  <si>
    <t xml:space="preserve">MFIs and banks at the forefront of gender equity policy innovation fall into this category. </t>
  </si>
  <si>
    <t>S.No</t>
  </si>
  <si>
    <t>Country</t>
  </si>
  <si>
    <t>Employee Name/ID</t>
  </si>
  <si>
    <t>Gender</t>
  </si>
  <si>
    <t>Role</t>
  </si>
  <si>
    <t>Designation</t>
  </si>
  <si>
    <t>Joining Date</t>
  </si>
  <si>
    <t>Exit Date</t>
  </si>
  <si>
    <t>Last promotion</t>
  </si>
  <si>
    <t>Parental Leave was taken on</t>
  </si>
  <si>
    <t>Hours of trainings</t>
  </si>
  <si>
    <t>Next Tab</t>
  </si>
  <si>
    <t xml:space="preserve">A </t>
  </si>
  <si>
    <t>Man</t>
  </si>
  <si>
    <t>Manager</t>
  </si>
  <si>
    <t>B</t>
  </si>
  <si>
    <t>Woman</t>
  </si>
  <si>
    <t>Senior Manager</t>
  </si>
  <si>
    <t>C</t>
  </si>
  <si>
    <t>Middle Manager</t>
  </si>
  <si>
    <t>D</t>
  </si>
  <si>
    <t>Non-Managerial Staff</t>
  </si>
  <si>
    <t>E</t>
  </si>
  <si>
    <t>Board Member</t>
  </si>
  <si>
    <t>Loan Officer</t>
  </si>
  <si>
    <t>Early Manager</t>
  </si>
  <si>
    <t>Executive Team</t>
  </si>
  <si>
    <t>Financial Institution</t>
  </si>
  <si>
    <t>MFI 1</t>
  </si>
  <si>
    <t>Assumptions</t>
  </si>
  <si>
    <t>Assessment Guide Output'</t>
  </si>
  <si>
    <t>India</t>
  </si>
  <si>
    <t>Parental Leave (months)</t>
  </si>
  <si>
    <t>Reporting Currency</t>
  </si>
  <si>
    <t>INR</t>
  </si>
  <si>
    <t>Parental Leave is a cumulative indicator</t>
  </si>
  <si>
    <t>Last Fiscal Year End</t>
  </si>
  <si>
    <t>Last Available YTD Report</t>
  </si>
  <si>
    <t>Date</t>
  </si>
  <si>
    <t>Comment</t>
  </si>
  <si>
    <t>Optional</t>
  </si>
  <si>
    <t>Human Resource</t>
  </si>
  <si>
    <t>H1</t>
  </si>
  <si>
    <t>Number of Employees</t>
  </si>
  <si>
    <t>H1.1</t>
  </si>
  <si>
    <t>Number of women employees</t>
  </si>
  <si>
    <t>H1.2</t>
  </si>
  <si>
    <t>Total number of employees</t>
  </si>
  <si>
    <t>H1.3</t>
  </si>
  <si>
    <t>Number of women managers</t>
  </si>
  <si>
    <t>H1.4</t>
  </si>
  <si>
    <t>Total number of managers</t>
  </si>
  <si>
    <t>H1.5</t>
  </si>
  <si>
    <t>Number of women on board</t>
  </si>
  <si>
    <t>H1.6</t>
  </si>
  <si>
    <t>Total board members</t>
  </si>
  <si>
    <t>H1.7</t>
  </si>
  <si>
    <t>Number of women in executive roles or partners</t>
  </si>
  <si>
    <t>H1.8</t>
  </si>
  <si>
    <t xml:space="preserve">Total individuals at executive roles </t>
  </si>
  <si>
    <t>H1.9</t>
  </si>
  <si>
    <t>Number of women at senior management</t>
  </si>
  <si>
    <t>H1. 10</t>
  </si>
  <si>
    <t>Total members of senior management</t>
  </si>
  <si>
    <t>H1.11</t>
  </si>
  <si>
    <t>Number of women in middle management</t>
  </si>
  <si>
    <t>H1.12</t>
  </si>
  <si>
    <t>Total number of middle management members</t>
  </si>
  <si>
    <t>H1.13</t>
  </si>
  <si>
    <t>Number of women in non-managerial staff</t>
  </si>
  <si>
    <t>H1.14</t>
  </si>
  <si>
    <t>Total number of non-managerial staff</t>
  </si>
  <si>
    <t>H1.15</t>
  </si>
  <si>
    <t>Number of women loan officers</t>
  </si>
  <si>
    <t>H1.16</t>
  </si>
  <si>
    <t>Total number of loan officers</t>
  </si>
  <si>
    <t>H1.17</t>
  </si>
  <si>
    <t>Number of women senior managers, executive team members &amp; loan officers</t>
  </si>
  <si>
    <t>H1.18</t>
  </si>
  <si>
    <t>Total number of senior managers, executive team members &amp; loan officers</t>
  </si>
  <si>
    <t>H1.19</t>
  </si>
  <si>
    <t>Number of women hired in last 12 months</t>
  </si>
  <si>
    <t>H1. 20</t>
  </si>
  <si>
    <t>Number of employees hired in last 12 months</t>
  </si>
  <si>
    <t>H1.21</t>
  </si>
  <si>
    <t>Number of women loan officers hired in last 12 months</t>
  </si>
  <si>
    <t>H1. 22</t>
  </si>
  <si>
    <t>Number of loan officers hired in last 12 months</t>
  </si>
  <si>
    <t>H2</t>
  </si>
  <si>
    <t>Salary Information</t>
  </si>
  <si>
    <t>H2.1</t>
  </si>
  <si>
    <t>Median salary of women in senior management</t>
  </si>
  <si>
    <t>H2.2</t>
  </si>
  <si>
    <t>Median salary of men in senior management</t>
  </si>
  <si>
    <t>H2.3</t>
  </si>
  <si>
    <t>Median salary of women in middle management</t>
  </si>
  <si>
    <t>H2.4</t>
  </si>
  <si>
    <t>Median salary of men in middle management</t>
  </si>
  <si>
    <t>H2.5</t>
  </si>
  <si>
    <t>Median salary of women in early managers/non-managerial staff</t>
  </si>
  <si>
    <t>H2.6</t>
  </si>
  <si>
    <t>Median salary of men early management/non-managerial staff</t>
  </si>
  <si>
    <t>H3</t>
  </si>
  <si>
    <t>Parental Leave Information</t>
  </si>
  <si>
    <t>H3.1</t>
  </si>
  <si>
    <t>Number of women who took parental leave</t>
  </si>
  <si>
    <t>H3.2</t>
  </si>
  <si>
    <t>Number of women who worked for 12 months after parental leave</t>
  </si>
  <si>
    <t>H3.3</t>
  </si>
  <si>
    <t>Number of men who took parental leave</t>
  </si>
  <si>
    <t>H3.4</t>
  </si>
  <si>
    <t>Number of men who worked for 12 months after parental leave</t>
  </si>
  <si>
    <t>H4</t>
  </si>
  <si>
    <t>Promotion Information</t>
  </si>
  <si>
    <t>H4.1</t>
  </si>
  <si>
    <t>Number of women promoted from middle management to senior management in last 2 years</t>
  </si>
  <si>
    <t>Information needs to be entered manually</t>
  </si>
  <si>
    <t>H4.2</t>
  </si>
  <si>
    <t>Number of men promoted from middle management to senior management in last 2 years</t>
  </si>
  <si>
    <t>H4.3</t>
  </si>
  <si>
    <t>Number of women promoted from non-managerial staff to middle management in the last 2 years</t>
  </si>
  <si>
    <t>H4.4</t>
  </si>
  <si>
    <t>Number of men promoted from non-managerial staff to middle management in the last 2 years</t>
  </si>
  <si>
    <t>H5</t>
  </si>
  <si>
    <t>Training Information</t>
  </si>
  <si>
    <t>H5.1</t>
  </si>
  <si>
    <t>Total hours of training for women</t>
  </si>
  <si>
    <t>H5.2</t>
  </si>
  <si>
    <t>Total hours of training for men</t>
  </si>
  <si>
    <t>H6</t>
  </si>
  <si>
    <t>Qualitative Information</t>
  </si>
  <si>
    <t>H6.1</t>
  </si>
  <si>
    <t>Company has a confidential grievance, resolution, reporting and non-retaliation
mechanism and procedure to address and respond to incidents of violence and harassment</t>
  </si>
  <si>
    <t>Not aligned</t>
  </si>
  <si>
    <t>Partially aligned</t>
  </si>
  <si>
    <t xml:space="preserve">Aligned </t>
  </si>
  <si>
    <t>H6.2</t>
  </si>
  <si>
    <t>Has a stand-alone responsible marketing communication policy or a commitment embedded in a broader corporate policy that addresses the avoidance of gender stereotypes and promotes positive portrayals of women and girls</t>
  </si>
  <si>
    <t>No</t>
  </si>
  <si>
    <t>In progress</t>
  </si>
  <si>
    <t>Yes</t>
  </si>
  <si>
    <t>H6.3</t>
  </si>
  <si>
    <t>Has a stand-alone policy or a commitment embedded in a broader corporate policy that addresses supporting employees as parents and caregivers, covering all employees in major locations of operation</t>
  </si>
  <si>
    <t>H6.4</t>
  </si>
  <si>
    <t>Has a stand-alone policy or commitment embedded in a broader corporate policy on non-discrimination and equal opportunity policy covering pay, recruitment, retention, re-entry, and promotion of all individuals.</t>
  </si>
  <si>
    <t>H6.6</t>
  </si>
  <si>
    <t>Conducts a gender-responsive risk assessment as part of its human rights due diligence process to identify specific gender-related risks, including violence and harassment, and ensure personal safety and security of all employees.</t>
  </si>
  <si>
    <t>Aligned and audited</t>
  </si>
  <si>
    <t>H6.7</t>
  </si>
  <si>
    <t>Has policies and procedures to ensure safety, security, confidentiality, and protection of victims of sexual harassment at workplace</t>
  </si>
  <si>
    <t>H6.8</t>
  </si>
  <si>
    <t xml:space="preserve">Provides leadership training, coaching, and/or mentoring to support women to access management and leadership positions </t>
  </si>
  <si>
    <t>H6.9</t>
  </si>
  <si>
    <t xml:space="preserve">Offers flexible work options for all employees </t>
  </si>
  <si>
    <t>H6. 10</t>
  </si>
  <si>
    <t>Undertakes gender-responsive assessments of machine learning and AI tools to prevent perpetuating gender biases and avoid adverse impacts on women</t>
  </si>
  <si>
    <t>H6.11</t>
  </si>
  <si>
    <t>Has undertaken a gender audit/evaluation/assessment</t>
  </si>
  <si>
    <t>Credit</t>
  </si>
  <si>
    <t>C1</t>
  </si>
  <si>
    <t>Number of Loans</t>
  </si>
  <si>
    <t>C1.1</t>
  </si>
  <si>
    <t>Number of loans approved for businesses owned by women</t>
  </si>
  <si>
    <t>C1.2</t>
  </si>
  <si>
    <t>Total number of business loans approved</t>
  </si>
  <si>
    <t>C1.3</t>
  </si>
  <si>
    <t>Number of loans approved for individual women</t>
  </si>
  <si>
    <t>C1.4</t>
  </si>
  <si>
    <t>Total number of individual loans approved</t>
  </si>
  <si>
    <t>C2</t>
  </si>
  <si>
    <t>Interest Rate</t>
  </si>
  <si>
    <t>C2.1</t>
  </si>
  <si>
    <r>
      <t>Sum of interest rate for loans approved for women annually</t>
    </r>
    <r>
      <rPr>
        <sz val="10"/>
        <color rgb="FFC00000"/>
        <rFont val="Arial"/>
        <family val="2"/>
        <scheme val="minor"/>
      </rPr>
      <t xml:space="preserve"> (Individual+Business)</t>
    </r>
  </si>
  <si>
    <t>C2.2</t>
  </si>
  <si>
    <t>Number of loans approved for women annually</t>
  </si>
  <si>
    <t>C2.3</t>
  </si>
  <si>
    <r>
      <t xml:space="preserve">Sum of interest rate for loans approved for men annually </t>
    </r>
    <r>
      <rPr>
        <sz val="10"/>
        <color rgb="FFC00000"/>
        <rFont val="Arial"/>
        <family val="2"/>
        <scheme val="minor"/>
      </rPr>
      <t>(Individual+Business)</t>
    </r>
  </si>
  <si>
    <t>C2.4</t>
  </si>
  <si>
    <t>Number of loans approved for men annually</t>
  </si>
  <si>
    <t>C3</t>
  </si>
  <si>
    <t>Loan Size</t>
  </si>
  <si>
    <t>C3.1</t>
  </si>
  <si>
    <t>Total amount of loan disbursed for women annually</t>
  </si>
  <si>
    <t>C3.2</t>
  </si>
  <si>
    <r>
      <t xml:space="preserve">Total number of loans disbursed for women annually </t>
    </r>
    <r>
      <rPr>
        <sz val="10"/>
        <color rgb="FFC00000"/>
        <rFont val="Arial"/>
        <family val="2"/>
        <scheme val="minor"/>
      </rPr>
      <t>(Individual+Business)</t>
    </r>
  </si>
  <si>
    <t>C3.3</t>
  </si>
  <si>
    <t>Total amount of loan disbursed for men annually</t>
  </si>
  <si>
    <t>C3.4</t>
  </si>
  <si>
    <r>
      <t xml:space="preserve">Total number of loans disbursed for men annually </t>
    </r>
    <r>
      <rPr>
        <sz val="10"/>
        <color rgb="FFC00000"/>
        <rFont val="Arial"/>
        <family val="2"/>
        <scheme val="minor"/>
      </rPr>
      <t>(Individual+Business)</t>
    </r>
  </si>
  <si>
    <t>C4</t>
  </si>
  <si>
    <t>C4.1</t>
  </si>
  <si>
    <t>Regular capacity building and counselling of female borrowers on loan utilization and repayment plan including use of technology</t>
  </si>
  <si>
    <t>C4.2</t>
  </si>
  <si>
    <t>Periodic monitoring and review of the credit scorecard using a gender-lens along with loan officers</t>
  </si>
  <si>
    <t>C4.3</t>
  </si>
  <si>
    <t>Financial products or services are offered that enhance the wellbeing of women/girls and/or drive gender equity</t>
  </si>
  <si>
    <t>C4.4</t>
  </si>
  <si>
    <t>Existence of flexible loan repayment program such as flexible credit lines</t>
  </si>
  <si>
    <t>Stage of Toolkit Adoption</t>
  </si>
  <si>
    <t>Metric Type</t>
  </si>
  <si>
    <t>Category</t>
  </si>
  <si>
    <t>Activity Description</t>
  </si>
  <si>
    <t>Indicator</t>
  </si>
  <si>
    <t>Calculation</t>
  </si>
  <si>
    <t xml:space="preserve">Source of Methodology </t>
  </si>
  <si>
    <t>Target Value</t>
  </si>
  <si>
    <t>Target Source</t>
  </si>
  <si>
    <t>Target Frequency</t>
  </si>
  <si>
    <t>Investment Level</t>
  </si>
  <si>
    <t>Time Required</t>
  </si>
  <si>
    <t>Expected Impact</t>
  </si>
  <si>
    <t>Impact Source</t>
  </si>
  <si>
    <t>Responsible team/individual</t>
  </si>
  <si>
    <t>Recommended Action</t>
  </si>
  <si>
    <t>Sources</t>
  </si>
  <si>
    <t>Human Resources</t>
  </si>
  <si>
    <t>Firm-Level</t>
  </si>
  <si>
    <t xml:space="preserve">Increase overall women in workforce </t>
  </si>
  <si>
    <t>Percentage of women employees</t>
  </si>
  <si>
    <t>(Number of Women Employees/Total Employees)×100</t>
  </si>
  <si>
    <t>Women Empowerment Principles, 2021
Private Equity and Value Creation, 2020</t>
  </si>
  <si>
    <t>At least 40%</t>
  </si>
  <si>
    <t>2X Criteria Reference Guide</t>
  </si>
  <si>
    <t>Annually</t>
  </si>
  <si>
    <t>$$</t>
  </si>
  <si>
    <t xml:space="preserve">Medium-Term </t>
  </si>
  <si>
    <t>The World Bank estimates that closing the gender gap in employment and entrepreneurship could increase global GDP by more than 20%, while the International Monetary Fund (IMF) has categorized the correction of the “misallocation” of women’s talents and abilities as a method for boosting productivity.</t>
  </si>
  <si>
    <t>Gender Gap Report, 2024</t>
  </si>
  <si>
    <t>1. Set gender-balanced hiring targets and eliminate bias in job descriptions. 
2. Offer paid parental leave and hybrid work options to retain female talent. 
3. Monitor hiring, pay equity, and career progression to ensure equal opportunities.</t>
  </si>
  <si>
    <r>
      <rPr>
        <sz val="10"/>
        <rFont val="Montserrat"/>
      </rPr>
      <t xml:space="preserve">1. </t>
    </r>
    <r>
      <rPr>
        <u/>
        <sz val="10"/>
        <color rgb="FF1155CC"/>
        <rFont val="Montserrat"/>
      </rPr>
      <t>Women's World Banking, page 6</t>
    </r>
    <r>
      <rPr>
        <sz val="10"/>
        <rFont val="Montserrat"/>
      </rPr>
      <t xml:space="preserve"> 
2. </t>
    </r>
    <r>
      <rPr>
        <u/>
        <sz val="10"/>
        <color rgb="FF1155CC"/>
        <rFont val="Montserrat"/>
      </rPr>
      <t>Women's World Banking, page 8</t>
    </r>
    <r>
      <rPr>
        <sz val="10"/>
        <rFont val="Montserrat"/>
      </rPr>
      <t xml:space="preserve"> 
3. </t>
    </r>
    <r>
      <rPr>
        <u/>
        <sz val="10"/>
        <color rgb="FF1155CC"/>
        <rFont val="Montserrat"/>
      </rPr>
      <t>Pay Transparency Tools to Close the Gender Wage Gap, page 24</t>
    </r>
  </si>
  <si>
    <t xml:space="preserve">Promote women to management </t>
  </si>
  <si>
    <t>Percentage of women at management level¹</t>
  </si>
  <si>
    <t>(Number of Women Managers/Total Number of Managers)x100</t>
  </si>
  <si>
    <t>At least 30%</t>
  </si>
  <si>
    <t>2X Criteria Reference Guide
FTSE Women Leaders Review</t>
  </si>
  <si>
    <t>$$$</t>
  </si>
  <si>
    <t>Long-Term</t>
  </si>
  <si>
    <t xml:space="preserve">Women managers are twice as likely as their male counterparts to invest significant time in diversity, equity, and inclusion (DEI) work, fostering collaboration and creating more inclusive environments. This commitment to DEI and employee well-being by women managers leads to reduced burnout, improved employee retention, and higher job satisfaction, ultimately contributing to enhanced organizational performance. </t>
  </si>
  <si>
    <t>McKinsey Diversity matters even more: The case for holistic impact, 2023</t>
  </si>
  <si>
    <t>Executive Leadership &amp; Human Resources</t>
  </si>
  <si>
    <t>1. Provide mentorship, sponsorship, and executive coaching for high-potential women. 
2. Ensure transparent promotions and monitor gender representation in leadership. 
3. Create structured pathways and career acceleration programs for women in senior roles.</t>
  </si>
  <si>
    <r>
      <rPr>
        <sz val="10"/>
        <rFont val="Montserrat"/>
      </rPr>
      <t>1.</t>
    </r>
    <r>
      <rPr>
        <u/>
        <sz val="10"/>
        <color rgb="FF1155CC"/>
        <rFont val="Montserrat"/>
      </rPr>
      <t xml:space="preserve"> Women in Workplace 2022, page 33</t>
    </r>
    <r>
      <rPr>
        <sz val="10"/>
        <rFont val="Montserrat"/>
      </rPr>
      <t xml:space="preserve"> 
2. </t>
    </r>
    <r>
      <rPr>
        <u/>
        <sz val="10"/>
        <color rgb="FF1155CC"/>
        <rFont val="Montserrat"/>
      </rPr>
      <t>Women in Workplace 2022, page 44</t>
    </r>
    <r>
      <rPr>
        <sz val="10"/>
        <rFont val="Montserrat"/>
      </rPr>
      <t xml:space="preserve"> 
3. </t>
    </r>
    <r>
      <rPr>
        <u/>
        <sz val="10"/>
        <color rgb="FF1155CC"/>
        <rFont val="Montserrat"/>
      </rPr>
      <t>HeForShe Alliance
IMPACT REPORT 2024, page 12</t>
    </r>
  </si>
  <si>
    <t>Enhance women representation in board</t>
  </si>
  <si>
    <t>Percentage of women on boards</t>
  </si>
  <si>
    <t>(Number of Women in Board/Total Board Members)x100</t>
  </si>
  <si>
    <t>30% Club</t>
  </si>
  <si>
    <t>Companies in the top quartile of board-gender diversity are 27% more likely than those in the bottom quartile to outperform financially. For every woman added to a company board with ten directors, there was, on average, a two-point increase in holistic impact scores, which include environmental and social impact metrics.</t>
  </si>
  <si>
    <t>Board Nominating Committee, Board of Directors</t>
  </si>
  <si>
    <t xml:space="preserve">1. Set at least 30% representation targets for women in executive and board roles. 
2. Ensure the board includes qualified women through diverse hiring networks. 
</t>
  </si>
  <si>
    <r>
      <rPr>
        <sz val="10"/>
        <rFont val="Montserrat"/>
      </rPr>
      <t xml:space="preserve">1.  </t>
    </r>
    <r>
      <rPr>
        <u/>
        <sz val="10"/>
        <color rgb="FF1155CC"/>
        <rFont val="Montserrat"/>
      </rPr>
      <t>OECD Corporate Governance Working Papers No. 28, page 9</t>
    </r>
    <r>
      <rPr>
        <sz val="10"/>
        <rFont val="Montserrat"/>
      </rPr>
      <t xml:space="preserve"> 
2. </t>
    </r>
    <r>
      <rPr>
        <u/>
        <sz val="10"/>
        <color rgb="FF1155CC"/>
        <rFont val="Montserrat"/>
      </rPr>
      <t>Women's World Banking, page 18</t>
    </r>
    <r>
      <rPr>
        <sz val="10"/>
        <rFont val="Montserrat"/>
      </rPr>
      <t xml:space="preserve"> </t>
    </r>
  </si>
  <si>
    <t>Enhance women representation in executive teams</t>
  </si>
  <si>
    <t>Percentage of women on executive teams²</t>
  </si>
  <si>
    <t>(Number of Women in Executive Roles or Partners/Total Executive Roles)x100</t>
  </si>
  <si>
    <t xml:space="preserve">The business case for gender diversity on executive teams has more than doubled over the past decade. Firms in the top quartile for gender diversity on executive teams are 39% more likely to financially outperform those in the bottom quartile. Companies in the bottom quartile for gender diversity on executive teams are 66% less likely to financially outperform their peers, indicating that lack of diversity may be getting more expensive. </t>
  </si>
  <si>
    <t>McKinsey Diversity matters even more: The case for holistic impact, 2024</t>
  </si>
  <si>
    <t>Human Resources, Board of Directors, Executive Leadership</t>
  </si>
  <si>
    <t xml:space="preserve">1. Identify high-potential women and offer executive coaching. 
2. Tie bonuses and incentives to gender diversity progress. 
</t>
  </si>
  <si>
    <r>
      <rPr>
        <sz val="10"/>
        <rFont val="Montserrat"/>
      </rPr>
      <t xml:space="preserve">1. </t>
    </r>
    <r>
      <rPr>
        <u/>
        <sz val="10"/>
        <color rgb="FF1155CC"/>
        <rFont val="Montserrat"/>
      </rPr>
      <t>Women's Empowerment Principles</t>
    </r>
    <r>
      <rPr>
        <sz val="10"/>
        <rFont val="Montserrat"/>
      </rPr>
      <t xml:space="preserve"> 
2. </t>
    </r>
    <r>
      <rPr>
        <u/>
        <sz val="10"/>
        <color rgb="FF1155CC"/>
        <rFont val="Montserrat"/>
      </rPr>
      <t>Women in leadership, page 12</t>
    </r>
    <r>
      <rPr>
        <sz val="10"/>
        <rFont val="Montserrat"/>
      </rPr>
      <t xml:space="preserve"> </t>
    </r>
  </si>
  <si>
    <t>Increase women’s representation in senior management</t>
  </si>
  <si>
    <t>Percent of women in senior management³</t>
  </si>
  <si>
    <t>(Number of Women in Senior Management / Total Senior Management) × 100</t>
  </si>
  <si>
    <t>Private Equity and Value Creation, 2020</t>
  </si>
  <si>
    <t>Medium-Term</t>
  </si>
  <si>
    <t>Human Resources &amp; Executive Leadership</t>
  </si>
  <si>
    <t>1. Implement executive sponsorship and mentorship programs for women. 
2. Tie executive bonuses to gender diversity targets. 
3. Require gender-inclusive succession planning.</t>
  </si>
  <si>
    <t>Increase women’s representation in middle management</t>
  </si>
  <si>
    <t>Percent of women in middle management⁴</t>
  </si>
  <si>
    <t>(Number of Women in Middle Management / Total Middle Management) × 100</t>
  </si>
  <si>
    <t>Human Resources and Department Heads</t>
  </si>
  <si>
    <t>1. Introduce leadership training for women in middle management. 
2. Develop mentorship &amp; sponsorship initiatives for high-potential women.</t>
  </si>
  <si>
    <r>
      <rPr>
        <sz val="10"/>
        <rFont val="Montserrat"/>
      </rPr>
      <t xml:space="preserve">1. </t>
    </r>
    <r>
      <rPr>
        <u/>
        <sz val="10"/>
        <color rgb="FF1155CC"/>
        <rFont val="Montserrat"/>
      </rPr>
      <t xml:space="preserve">IWF 
</t>
    </r>
    <r>
      <rPr>
        <sz val="10"/>
        <rFont val="Montserrat"/>
      </rPr>
      <t xml:space="preserve">2. </t>
    </r>
    <r>
      <rPr>
        <u/>
        <sz val="10"/>
        <color rgb="FF1155CC"/>
        <rFont val="Montserrat"/>
      </rPr>
      <t>Women's World Banking, page 9</t>
    </r>
  </si>
  <si>
    <t>Increase women’s representation in non-managerial roles</t>
  </si>
  <si>
    <t>Percent of women in non-managerial staff⁵</t>
  </si>
  <si>
    <t>(Number of Women in Non-Managerial Staff / Total Non-Managerial Staff) × 100</t>
  </si>
  <si>
    <t>$</t>
  </si>
  <si>
    <t>Short-Term</t>
  </si>
  <si>
    <t xml:space="preserve">Human Resources </t>
  </si>
  <si>
    <t>1. Set gender-balanced hiring quotas for entry-level positions. 
2. Ensure gender-inclusive job descriptions and recruitment practices. 
3. Implement family-friendly workplace policies to improve retention.</t>
  </si>
  <si>
    <r>
      <rPr>
        <sz val="10"/>
        <rFont val="Montserrat"/>
      </rPr>
      <t xml:space="preserve">1. </t>
    </r>
    <r>
      <rPr>
        <u/>
        <sz val="10"/>
        <color rgb="FF1155CC"/>
        <rFont val="Montserrat"/>
      </rPr>
      <t>IFC</t>
    </r>
    <r>
      <rPr>
        <sz val="10"/>
        <rFont val="Montserrat"/>
      </rPr>
      <t xml:space="preserve"> 
2. </t>
    </r>
    <r>
      <rPr>
        <u/>
        <sz val="10"/>
        <color rgb="FF1155CC"/>
        <rFont val="Montserrat"/>
      </rPr>
      <t>UN Women</t>
    </r>
    <r>
      <rPr>
        <sz val="10"/>
        <rFont val="Montserrat"/>
      </rPr>
      <t xml:space="preserve"> 
3. </t>
    </r>
    <r>
      <rPr>
        <u/>
        <sz val="10"/>
        <color rgb="FF1155CC"/>
        <rFont val="Montserrat"/>
      </rPr>
      <t>World Bank</t>
    </r>
    <r>
      <rPr>
        <sz val="10"/>
        <rFont val="Montserrat"/>
      </rPr>
      <t xml:space="preserve"> </t>
    </r>
  </si>
  <si>
    <t>Ensure pay equity</t>
  </si>
  <si>
    <t>Average Ratio of women’s salary to men’s salary</t>
  </si>
  <si>
    <t>1. Median Salary of Women in a role/ Median Salary of Men in the same role 
2. Average of this ratio across all roles in the firm</t>
  </si>
  <si>
    <t>Women Empowerment Principles, 2025</t>
  </si>
  <si>
    <t>ILO Equal Remuneration Convention, 1951 (No. 100)</t>
  </si>
  <si>
    <t>Eliminating the gender pay gap by increasing women’s pay to match that of men of the same age and education level would cut the poverty rate for all working women in half, regardless of their family structure. Providing equal pay for women would inject $513 billion into the U.S. economy, representing a 3% increase in GDP​.
Improving gender equality in the European Union could lead to a 9.6% increase in EU GDP per capita, equivalent to €3.15 trillion, and an additional 10.5 million jobs by 2050, according to the European Institute for Gender Equality. This would benefit both women and men.</t>
  </si>
  <si>
    <t>The Simple Truth About the Gender Pay Gap, 2018
The Simple Truth About the Gender Pay Gap, 2022
EIB Gender equality and women’s economic empowerment</t>
  </si>
  <si>
    <t xml:space="preserve">1. Perform annual salary audits to identify and address gender pay gaps. 
2. Implement performance-based compensation and promotion frameworks to eliminate bias. 
3. Disclose salary ranges in job postings and integrate pay equity into DEI goals.
</t>
  </si>
  <si>
    <r>
      <rPr>
        <sz val="10"/>
        <rFont val="Montserrat"/>
      </rPr>
      <t xml:space="preserve">1. </t>
    </r>
    <r>
      <rPr>
        <u/>
        <sz val="10"/>
        <color rgb="FF1155CC"/>
        <rFont val="Montserrat"/>
      </rPr>
      <t>ILO</t>
    </r>
    <r>
      <rPr>
        <sz val="10"/>
        <rFont val="Montserrat"/>
      </rPr>
      <t xml:space="preserve"> 
2. </t>
    </r>
    <r>
      <rPr>
        <u/>
        <sz val="10"/>
        <color rgb="FF1155CC"/>
        <rFont val="Montserrat"/>
      </rPr>
      <t>OECD</t>
    </r>
    <r>
      <rPr>
        <sz val="10"/>
        <rFont val="Montserrat"/>
      </rPr>
      <t xml:space="preserve"> 
3. </t>
    </r>
    <r>
      <rPr>
        <u/>
        <sz val="10"/>
        <color rgb="FF1155CC"/>
        <rFont val="Montserrat"/>
      </rPr>
      <t>OECD</t>
    </r>
    <r>
      <rPr>
        <sz val="10"/>
        <rFont val="Montserrat"/>
      </rPr>
      <t xml:space="preserve"> </t>
    </r>
  </si>
  <si>
    <t>Recruitment</t>
  </si>
  <si>
    <t>Improve gender diversity in hiring</t>
  </si>
  <si>
    <t>Percentage of new hires – women</t>
  </si>
  <si>
    <t>(Number of Women New Hires / Total New Hires) × 100</t>
  </si>
  <si>
    <t>At least 50%</t>
  </si>
  <si>
    <t>Quarterly</t>
  </si>
  <si>
    <t>Companies that invest in women’s employment gain an important competitive advantage, because they reach a wider talent pool, realize enhanced productivity, and improve staff retention.</t>
  </si>
  <si>
    <t xml:space="preserve">1. Require at least one woman per panel. 
2. Set gender hiring targets and refine strategies based on quarterly data. 
3. Conduct biannual audits and monitor compliance. </t>
  </si>
  <si>
    <r>
      <rPr>
        <sz val="10"/>
        <rFont val="Montserrat"/>
      </rPr>
      <t xml:space="preserve">1. UN Special Measures for the Achievement of Gender Equality 
2. </t>
    </r>
    <r>
      <rPr>
        <u/>
        <sz val="10"/>
        <color rgb="FF1155CC"/>
        <rFont val="Montserrat"/>
      </rPr>
      <t>World Bank Group</t>
    </r>
    <r>
      <rPr>
        <sz val="10"/>
        <rFont val="Montserrat"/>
      </rPr>
      <t xml:space="preserve"> 
3. </t>
    </r>
    <r>
      <rPr>
        <u/>
        <sz val="10"/>
        <color rgb="FF1155CC"/>
        <rFont val="Montserrat"/>
      </rPr>
      <t>ILO</t>
    </r>
    <r>
      <rPr>
        <sz val="10"/>
        <rFont val="Montserrat"/>
      </rPr>
      <t xml:space="preserve"> </t>
    </r>
  </si>
  <si>
    <t>Onboarding</t>
  </si>
  <si>
    <t>Ensure gender-equitable career progression</t>
  </si>
  <si>
    <t xml:space="preserve">Percentage of promotions and career opportunities – women </t>
  </si>
  <si>
    <t>Promotion Rate by level for women 
1. 100* (Total number of women promoted from Entry-Level to Mid-Management over the last 2 FY/ Average of the total number of women in the entry level in the last two years)
2. 100* (Total number of women promoted from Mid-Management to Senior Leadership over the last 2 FY/ Average of the total number of women in mid-management in the last two years)
3. 100* (Total number of women promoted from Senior Leadership to Executive role over the last 2 FY/ Average of the total number of women in senior leadership in the last two years)
(Number of Women Promoted at a Specific Level/Total number of Women at the preceding level) * 100 measured biannually</t>
  </si>
  <si>
    <t>Biannually</t>
  </si>
  <si>
    <t>Women managers are twice as likely as their male counterparts to invest significant time in diversity, equity, and inclusion (DEI) work, fostering collaboration and creating more inclusive environments. This commitment to DEI and employee well-being by women managers leads to reduced burnout, improved employee retention, and higher job satisfaction, ultimately contributing to enhanced organizational performance. 
Promotions based on merit, fairness, and robust performance measurement frameworks (rather than tenure) can help redress gender inequalities. They can also remove barriers for caregivers, who may be less likely to be identified for leadership development programmes and positions because of evaluation bias.</t>
  </si>
  <si>
    <r>
      <rPr>
        <u/>
        <sz val="10"/>
        <color rgb="FF1155CC"/>
        <rFont val="Montserrat"/>
      </rPr>
      <t xml:space="preserve">McKinsey Diversity matters even more: The case for holistic impact, 2023
</t>
    </r>
    <r>
      <rPr>
        <u/>
        <sz val="10"/>
        <color rgb="FF1155CC"/>
        <rFont val="Montserrat"/>
      </rPr>
      <t xml:space="preserve">
</t>
    </r>
    <r>
      <rPr>
        <u/>
        <sz val="10"/>
        <color rgb="FF1155CC"/>
        <rFont val="Montserrat"/>
      </rPr>
      <t>Gender Balance Index, 2024
Toolkit for Mainstreaming and Implementing Gender Equality, 2023 (OECD)</t>
    </r>
  </si>
  <si>
    <t>Human Resources, Senior Leadership, Learning &amp; Development Team</t>
  </si>
  <si>
    <t xml:space="preserve">1. Establishing clear criteria for promotions ensures that advancement is based on performance rather than tenure. 
2. Offering mentorship opportunities equips women with the skills necessary for leadership roles. 
3. Establish supportive work-family policies. </t>
  </si>
  <si>
    <r>
      <rPr>
        <sz val="10"/>
        <rFont val="Montserrat"/>
      </rPr>
      <t xml:space="preserve">1. </t>
    </r>
    <r>
      <rPr>
        <u/>
        <sz val="10"/>
        <color rgb="FF1155CC"/>
        <rFont val="Montserrat"/>
      </rPr>
      <t>ILO</t>
    </r>
    <r>
      <rPr>
        <sz val="10"/>
        <rFont val="Montserrat"/>
      </rPr>
      <t xml:space="preserve"> (pag.30-31)
2. </t>
    </r>
    <r>
      <rPr>
        <u/>
        <sz val="10"/>
        <color rgb="FF1155CC"/>
        <rFont val="Montserrat"/>
      </rPr>
      <t>OECD</t>
    </r>
    <r>
      <rPr>
        <sz val="10"/>
        <rFont val="Montserrat"/>
      </rPr>
      <t xml:space="preserve"> (pag.16-17)
3. </t>
    </r>
    <r>
      <rPr>
        <u/>
        <sz val="10"/>
        <color rgb="FF1155CC"/>
        <rFont val="Montserrat"/>
      </rPr>
      <t>UN</t>
    </r>
    <r>
      <rPr>
        <sz val="10"/>
        <rFont val="Montserrat"/>
      </rPr>
      <t xml:space="preserve">  (pag.7-9)</t>
    </r>
  </si>
  <si>
    <t>Retention</t>
  </si>
  <si>
    <t>Improve retention of employees after parental leave</t>
  </si>
  <si>
    <t>Retention rate of women FTE employees who took parental leave</t>
  </si>
  <si>
    <t>(Number of Women Returning After Parental Leave / Total Women Taking Leave) × 100</t>
  </si>
  <si>
    <t>At least 90%</t>
  </si>
  <si>
    <r>
      <rPr>
        <u/>
        <sz val="10"/>
        <color rgb="FF1155CC"/>
        <rFont val="Montserrat"/>
      </rPr>
      <t xml:space="preserve">Why Paid Family Leave Is Good Business
Paid Parental Leave and Female Faculty Retention
</t>
    </r>
    <r>
      <rPr>
        <sz val="10"/>
        <rFont val="Montserrat"/>
      </rPr>
      <t xml:space="preserve">
</t>
    </r>
    <r>
      <rPr>
        <u/>
        <sz val="10"/>
        <color rgb="FF1155CC"/>
        <rFont val="Montserrat"/>
      </rPr>
      <t>Buzzfeed’s Parental Leave Benefits Result In 95% Retention Rate</t>
    </r>
    <r>
      <rPr>
        <sz val="10"/>
        <rFont val="Montserrat"/>
      </rPr>
      <t xml:space="preserve">
</t>
    </r>
    <r>
      <rPr>
        <u/>
        <sz val="10"/>
        <color rgb="FF1155CC"/>
        <rFont val="Montserrat"/>
      </rPr>
      <t>93% of women remain with the company after 12 months of maternity leave</t>
    </r>
  </si>
  <si>
    <t>World Bank research has found that extending the duration of maternity leave is linked to a reduction of women’s participation in the workforce. Furthermore, the data suggests that parental parity is in fact positively correlated with higher female labor-force participation. Achieving workforce gender parity, therefore, requires governments and businesses to facilitate for the adoption and exercise of equitable parental leave, ensuring childcare responsibilities are shared equitably.</t>
  </si>
  <si>
    <t>1. Offer phased return options and role adjustments to ease the transition back to work. 
2. Provide parental support benefits to reduce barriers for working parents. 
3. Establish mentorship and re-onboarding programs to help returning parents stay on career tracks.</t>
  </si>
  <si>
    <r>
      <rPr>
        <sz val="10"/>
        <rFont val="Montserrat"/>
      </rPr>
      <t xml:space="preserve">1. </t>
    </r>
    <r>
      <rPr>
        <u/>
        <sz val="10"/>
        <color rgb="FF1155CC"/>
        <rFont val="Montserrat"/>
      </rPr>
      <t>ILO</t>
    </r>
    <r>
      <rPr>
        <sz val="10"/>
        <rFont val="Montserrat"/>
      </rPr>
      <t xml:space="preserve"> (pag.18-19) 
2. </t>
    </r>
    <r>
      <rPr>
        <u/>
        <sz val="10"/>
        <color rgb="FF1155CC"/>
        <rFont val="Montserrat"/>
      </rPr>
      <t>OECD</t>
    </r>
    <r>
      <rPr>
        <sz val="10"/>
        <rFont val="Montserrat"/>
      </rPr>
      <t xml:space="preserve"> (pag.56-58) 
3. </t>
    </r>
    <r>
      <rPr>
        <u/>
        <sz val="10"/>
        <color rgb="FF1155CC"/>
        <rFont val="Montserrat"/>
      </rPr>
      <t>EHRC</t>
    </r>
    <r>
      <rPr>
        <sz val="10"/>
        <rFont val="Montserrat"/>
      </rPr>
      <t xml:space="preserve"> (pag.16-18) </t>
    </r>
  </si>
  <si>
    <t>Retention rate of men FTE employees who took parental leave</t>
  </si>
  <si>
    <t>(Number of Men Returning After Parental Leave / Total Men Taking Leave) × 100</t>
  </si>
  <si>
    <t>Why Paid Family Leave Is Good Business</t>
  </si>
  <si>
    <t>World Bank research has found that extending the duration of parental leave is linked to a reduction of participation in the workforce. Furthermore, the data suggests that parental parity is in fact positively correlated with higher female labor-force participation. Achieving workforce gender parity, therefore, requires governments and businesses to facilitate for the adoption and exercise of equitable parental leave, ensuring childcare responsibilities are shared equitably.</t>
  </si>
  <si>
    <t>HR Analytics</t>
  </si>
  <si>
    <t xml:space="preserve">1. Offer phased return options and role adjustments to ease the transition back to work. 
2. Provide parental support benefits to reduce barriers for working parents. 
3. Establish mentorship and re-onboarding programs to help returning parents stay on career tracks. </t>
  </si>
  <si>
    <t>Severance</t>
  </si>
  <si>
    <t>Establish grievance &amp; harassment reporting mechanisms</t>
  </si>
  <si>
    <t>Not Aligned/Partially Aligned/Aligned/Aligned &amp; Audited</t>
  </si>
  <si>
    <t>Aligned &amp; Audited</t>
  </si>
  <si>
    <t>A safe and supportive work environment is fundamental to gender equality and women’s empowerment. Clear policies, robust reporting mechanisms, and a zero-tolerance approach to violence and harassment ensure that employees can work without fear. Employees who feel safe and supported are more likely to perform at their best, resulting in increased productivity, lower absenteeism, and reduced turnover.</t>
  </si>
  <si>
    <t xml:space="preserve">Driving Accountability &amp; Transparency in the Private Sector </t>
  </si>
  <si>
    <t>Legal &amp; Compliance Teams</t>
  </si>
  <si>
    <t xml:space="preserve">1. Create clear company policies of non-violence and against harassment 
2. Establish a clear and comprehensive reporting system (ideally using a third party) 
3. Ensure that non-retaliation measures are implemented and communicated with staff 
4. Reflect on the reporting mechanism system annually to ensure that it is gender sensitive </t>
  </si>
  <si>
    <r>
      <rPr>
        <sz val="10"/>
        <rFont val="Montserrat"/>
      </rPr>
      <t xml:space="preserve">1. </t>
    </r>
    <r>
      <rPr>
        <u/>
        <sz val="10"/>
        <color rgb="FF1155CC"/>
        <rFont val="Montserrat"/>
      </rPr>
      <t>OECD</t>
    </r>
    <r>
      <rPr>
        <sz val="10"/>
        <rFont val="Montserrat"/>
      </rPr>
      <t xml:space="preserve"> (pag 25-32)
2. OECD (pag. 9-12)
3. OECD (pag.13-14) 
4. OECD (pag.24-26)</t>
    </r>
  </si>
  <si>
    <t>Ensure gender balance in credit decision-making by tracking loan officer gender representation</t>
  </si>
  <si>
    <t>Percentage of Women Loan Officers</t>
  </si>
  <si>
    <t>Number of Women Loan Officers/Total Loan Officers</t>
  </si>
  <si>
    <t>The Gender Performance Checklist, 2024 (Women's World Banking)</t>
  </si>
  <si>
    <t>Disaggregating data on loan officers in WAM’s portfolio showed that hiring more Women loan officers correlated to acquiring more Women customers.</t>
  </si>
  <si>
    <t xml:space="preserve">1. Regularly gathering and examining data on the gender composition of loan officers. 
2. Establishing policies that encourage gender diversity in recruitment. 
3. Offering training programs to address unconscious biases. </t>
  </si>
  <si>
    <r>
      <rPr>
        <sz val="10"/>
        <rFont val="Montserrat"/>
      </rPr>
      <t xml:space="preserve">1. </t>
    </r>
    <r>
      <rPr>
        <u/>
        <sz val="10"/>
        <color rgb="FF1155CC"/>
        <rFont val="Montserrat"/>
      </rPr>
      <t>UN Women</t>
    </r>
    <r>
      <rPr>
        <sz val="10"/>
        <rFont val="Montserrat"/>
      </rPr>
      <t xml:space="preserve"> (pag.12-14) 
2. </t>
    </r>
    <r>
      <rPr>
        <u/>
        <sz val="10"/>
        <color rgb="FF1155CC"/>
        <rFont val="Montserrat"/>
      </rPr>
      <t>World Bank</t>
    </r>
    <r>
      <rPr>
        <sz val="10"/>
        <rFont val="Montserrat"/>
      </rPr>
      <t xml:space="preserve"> (pag.3-5) 
3. </t>
    </r>
    <r>
      <rPr>
        <u/>
        <sz val="10"/>
        <color rgb="FF1155CC"/>
        <rFont val="Montserrat"/>
      </rPr>
      <t xml:space="preserve">McKinsey's 2019 "Women in the Workplace" report, pag 5 and 18 </t>
    </r>
  </si>
  <si>
    <t>Increase women's representation in underrepresented roles</t>
  </si>
  <si>
    <r>
      <rPr>
        <sz val="10"/>
        <color theme="1"/>
        <rFont val="Montserrat"/>
      </rPr>
      <t xml:space="preserve">Percent of women in traditionally underrepresented roles
</t>
    </r>
    <r>
      <rPr>
        <u/>
        <sz val="10"/>
        <color theme="1"/>
        <rFont val="Montserrat"/>
      </rPr>
      <t>Underrepresented roles</t>
    </r>
    <r>
      <rPr>
        <sz val="10"/>
        <color theme="1"/>
        <rFont val="Montserrat"/>
      </rPr>
      <t xml:space="preserve"> would imply women as managers or team leaders or professionals in technol, finance or business-focused roles</t>
    </r>
  </si>
  <si>
    <t>(Number of Women in Underrepresented Roles / Total Employees in Underrepresented Roles) × 100</t>
  </si>
  <si>
    <t>In a study of Fortune 500 companies, Catalyst found that firms with higher gender diversity in management had 35 percent better return on equity (ROE) than firms with poor gender equity.
In a ‘full potential’ scenario, where women play an identical role in labor markets to that of men, as much as $28 trillion, or 26 percent, could be added to the global annual GDP by 2025.</t>
  </si>
  <si>
    <t>Delivering Gender Equality: Best Practices Framework in Male Dominated Industries, 2023 (USAID)</t>
  </si>
  <si>
    <t xml:space="preserve">1. Partner with STEM organizations to encourage women to enter fields where they are underrepresented. 
2. Create mentorship and sponsorship programs to connect women with senior leaders. 
3. Set clear diversity and inclusion goals and regularly audit progress to ensure accountability.
</t>
  </si>
  <si>
    <r>
      <rPr>
        <sz val="10"/>
        <rFont val="Montserrat"/>
      </rPr>
      <t xml:space="preserve">1. </t>
    </r>
    <r>
      <rPr>
        <u/>
        <sz val="10"/>
        <color rgb="FF1155CC"/>
        <rFont val="Montserrat"/>
      </rPr>
      <t>OWSD</t>
    </r>
    <r>
      <rPr>
        <sz val="10"/>
        <rFont val="Montserrat"/>
      </rPr>
      <t xml:space="preserve"> 
2. </t>
    </r>
    <r>
      <rPr>
        <u/>
        <sz val="10"/>
        <color rgb="FF1155CC"/>
        <rFont val="Montserrat"/>
      </rPr>
      <t>World Bank</t>
    </r>
  </si>
  <si>
    <t>Ensure gender-balanced training and leadership development</t>
  </si>
  <si>
    <t>Average trainee hours that the organization's employees have undertaken, disaggregated by sex and employee level</t>
  </si>
  <si>
    <t>Average Trainee hours = Number of hours in training*Number of people trained
Sex disaggregated Data:
Average Trainee hours for men = Number of hours in training for men*Number of men trained
Average Trainee hours for women = Number of hours in training for women*Number of women trained
Average Trainee hours for women/Average Trainee hours for men</t>
  </si>
  <si>
    <t>Companies with structured talent development programs see an increased number of women promoted to leadership positions.</t>
  </si>
  <si>
    <t xml:space="preserve">1. Develop programs specifically designed to prepare women for leadership roles. 
2. Partner with advocacy groups dedicated to advancing women in leadership to enhance internal initiatives. </t>
  </si>
  <si>
    <r>
      <rPr>
        <sz val="10"/>
        <rFont val="Montserrat"/>
      </rPr>
      <t xml:space="preserve">1. </t>
    </r>
    <r>
      <rPr>
        <u/>
        <sz val="10"/>
        <color rgb="FF1155CC"/>
        <rFont val="Montserrat"/>
      </rPr>
      <t>UN Women</t>
    </r>
    <r>
      <rPr>
        <sz val="10"/>
        <rFont val="Montserrat"/>
      </rPr>
      <t xml:space="preserve"> 
2. </t>
    </r>
    <r>
      <rPr>
        <u/>
        <sz val="10"/>
        <color rgb="FF1155CC"/>
        <rFont val="Montserrat"/>
      </rPr>
      <t>IGC</t>
    </r>
    <r>
      <rPr>
        <sz val="10"/>
        <rFont val="Montserrat"/>
      </rPr>
      <t xml:space="preserve">  </t>
    </r>
  </si>
  <si>
    <t>Promote inclusive marketing practices</t>
  </si>
  <si>
    <t>Has a stand-alone responsible marketing communication
policy or a commitment embedded in a broader
corporate policy that addresses the avoidance of
gender stereotypes and promotes positive portrayals
of women and girls</t>
  </si>
  <si>
    <t>Yes/No</t>
  </si>
  <si>
    <t>Advertising plays a pivotal role in shaping perceptions and social norms. By portraying women and men in modern, authentic, and multidimensional roles, companies can challenge stereotypes and promote gender equality on a broader scale.
Successful corporate branding strategies result in increased credibility and access to more diverse talent. Women candidates and individuals with diverse social identities increasingly apply for positions at companies that demonstrate a strong commitment to gender equality.
Organizations that integrate inclusive marketing strategies experience increased consumer engagement and brand loyalty, as they align their messaging with evolving social norms and consumer expectations.</t>
  </si>
  <si>
    <r>
      <rPr>
        <u/>
        <sz val="10"/>
        <color rgb="FF1155CC"/>
        <rFont val="Montserrat"/>
      </rPr>
      <t xml:space="preserve">Driving Accountability &amp; Transparency in the Private Sector 
</t>
    </r>
    <r>
      <rPr>
        <sz val="10"/>
        <rFont val="Montserrat"/>
      </rPr>
      <t xml:space="preserve">Delivering Gender Equality: Best Practices Framework in Male Dominated Industries (USAID, 2023)
</t>
    </r>
    <r>
      <rPr>
        <u/>
        <sz val="10"/>
        <color rgb="FF1155CC"/>
        <rFont val="Montserrat"/>
      </rPr>
      <t>McKinsey Diversity matters even more: The case for holistic impact, 2023</t>
    </r>
  </si>
  <si>
    <t>Marketing &amp; Branding</t>
  </si>
  <si>
    <t xml:space="preserve">1. Ensure advertisements portray individuals in diverse and authentic roles, moving beyond traditional gender stereotypes. 
2. Avoid labeling products as specifically for men or women and avoid social constraints. 
3. Publicly support social causes to align brand values with those of a diverse consumer base. </t>
  </si>
  <si>
    <r>
      <rPr>
        <sz val="10"/>
        <rFont val="Montserrat"/>
      </rPr>
      <t xml:space="preserve">1. </t>
    </r>
    <r>
      <rPr>
        <u/>
        <sz val="10"/>
        <color rgb="FF1155CC"/>
        <rFont val="Montserrat"/>
      </rPr>
      <t>UNICEF</t>
    </r>
    <r>
      <rPr>
        <sz val="10"/>
        <rFont val="Montserrat"/>
      </rPr>
      <t xml:space="preserve"> (pg. 13-14) 
2. </t>
    </r>
    <r>
      <rPr>
        <u/>
        <sz val="10"/>
        <color rgb="FF1155CC"/>
        <rFont val="Montserrat"/>
      </rPr>
      <t>UNICEF</t>
    </r>
    <r>
      <rPr>
        <sz val="10"/>
        <rFont val="Montserrat"/>
      </rPr>
      <t xml:space="preserve"> (pg. 13-14)  
3. </t>
    </r>
    <r>
      <rPr>
        <u/>
        <sz val="10"/>
        <color rgb="FF1155CC"/>
        <rFont val="Montserrat"/>
      </rPr>
      <t>OECD</t>
    </r>
    <r>
      <rPr>
        <sz val="10"/>
        <rFont val="Montserrat"/>
      </rPr>
      <t xml:space="preserve"> (pg. 58-62) </t>
    </r>
  </si>
  <si>
    <t>Firm-level</t>
  </si>
  <si>
    <t>Implement non-discrimination policies</t>
  </si>
  <si>
    <t>Has a stand-alone policy or a commitment embedded
in a broader corporate policy that addresses supporting
employees as parents and caregivers, covering all
employees in major locations of operation</t>
  </si>
  <si>
    <t>Implementing family-friendly policies has strong business value as it increases employee retention, reduces absenteeism, and lowers overall recruitment costs. Family-friendly policies enable working parents, especially mothers, to advance in their careers, and employees with access to flexible work arrangements tend to be more committed and engaged, leading to innovation and productivity.</t>
  </si>
  <si>
    <t>Attracting and Retaining Talent Through Inclusive Family-Friendly Policies</t>
  </si>
  <si>
    <t xml:space="preserve">1. Identify employees who have taken parental leave and conduct a post-parental leave survey
2. Based on your findings, establish a clear parental leave policy that addresses any gaps that exist between current parental leave policies and the experience of employees
3. Conduct annual audits to ensure that parental leave meets the needs of employees and is being implemented equally at all locations of operation
4. Optionally, create/invest in creating caretaking programs for parents 
</t>
  </si>
  <si>
    <r>
      <rPr>
        <sz val="10"/>
        <rFont val="Montserrat"/>
      </rPr>
      <t xml:space="preserve">1. </t>
    </r>
    <r>
      <rPr>
        <u/>
        <sz val="10"/>
        <color rgb="FF1155CC"/>
        <rFont val="Montserrat"/>
      </rPr>
      <t>ILO</t>
    </r>
    <r>
      <rPr>
        <sz val="10"/>
        <rFont val="Montserrat"/>
      </rPr>
      <t xml:space="preserve"> (pg. 13-15) 
2. </t>
    </r>
    <r>
      <rPr>
        <u/>
        <sz val="10"/>
        <color rgb="FF1155CC"/>
        <rFont val="Montserrat"/>
      </rPr>
      <t>ILO</t>
    </r>
    <r>
      <rPr>
        <sz val="10"/>
        <rFont val="Montserrat"/>
      </rPr>
      <t xml:space="preserve"> (pg. 13-15) 
3.  </t>
    </r>
    <r>
      <rPr>
        <u/>
        <sz val="10"/>
        <color rgb="FF1155CC"/>
        <rFont val="Montserrat"/>
      </rPr>
      <t>European institute for gender equality</t>
    </r>
    <r>
      <rPr>
        <sz val="10"/>
        <rFont val="Montserrat"/>
      </rPr>
      <t xml:space="preserve"> 
4. </t>
    </r>
    <r>
      <rPr>
        <u/>
        <sz val="10"/>
        <color rgb="FF1155CC"/>
        <rFont val="Montserrat"/>
      </rPr>
      <t>European institute for gender equality</t>
    </r>
  </si>
  <si>
    <t>Ensure equal pay</t>
  </si>
  <si>
    <t>Has a stand-alone policy or commitment embedded in
a broader corporate policy on non-discrimination and
equal opportunity policy covering pay, recruitment, retention,
re-entry, and promotion of all individuals.</t>
  </si>
  <si>
    <t xml:space="preserve">Employers who implement non-discrimination strategies gain business advantages such as improved employee morale, access to a wider talent pool, reduced legal risks, and enhanced reputation​. It highlights that recruitment improves when companies adopt competence-based hiring systems and audit payment disparities for women and minorities​. Retention benefits include the development of family-friendly policies and the implementation of anti-harassment frameworks​. Additionally, diverse workforces help businesses penetrate new markets by reflecting the communities they serve​
</t>
  </si>
  <si>
    <t>IFC Non-Discrimination
and Equal Opportunity, 2006</t>
  </si>
  <si>
    <t>1. Identify key areas where gender disparities are most prominent 
2. Create a policy that takes those disparities into account while emphasizing non-discrimination and equal opportunity regardless of sex 
3. Establish an annual review</t>
  </si>
  <si>
    <r>
      <rPr>
        <sz val="10"/>
        <rFont val="Montserrat"/>
      </rPr>
      <t xml:space="preserve">1. </t>
    </r>
    <r>
      <rPr>
        <u/>
        <sz val="10"/>
        <color rgb="FF1155CC"/>
        <rFont val="Montserrat"/>
      </rPr>
      <t>ILO</t>
    </r>
    <r>
      <rPr>
        <sz val="10"/>
        <rFont val="Montserrat"/>
      </rPr>
      <t xml:space="preserve"> (72-88)</t>
    </r>
  </si>
  <si>
    <t>Conduct gender-responsive risk assessments</t>
  </si>
  <si>
    <t>Conducts a gender-responsive risk assessment as part of
its human rights due diligence process to identify specific
gender-related risks, including violence and harassment
and ensure personal safety and security of all employees.</t>
  </si>
  <si>
    <t>Conducting a gender-responsive risk assessment as part of human rights due diligence helps identify and mitigate gender-related risks, including violence and harassment, ensuring employee safety. Regular assessments improve workplace safety and foster a culture of respect. Implementing these assessments enhances employee well-being, productivity, and corporate reputation.</t>
  </si>
  <si>
    <t xml:space="preserve">UN Policy Template: Gender-based Violence and Harassment at Work
UN Policy Template: Domestic Violence </t>
  </si>
  <si>
    <t>1. Building and reinforcing a culture of respect and dignity in the workplace 2. Building policies that promote workplace safety 3. Provide trainings on Workplace safety measures ensuring that reporting mechanism are included in those trainings</t>
  </si>
  <si>
    <r>
      <rPr>
        <sz val="10"/>
        <rFont val="Montserrat"/>
      </rPr>
      <t xml:space="preserve">1. </t>
    </r>
    <r>
      <rPr>
        <u/>
        <sz val="10"/>
        <color rgb="FF1155CC"/>
        <rFont val="Montserrat"/>
      </rPr>
      <t>UN Women</t>
    </r>
    <r>
      <rPr>
        <sz val="10"/>
        <rFont val="Montserrat"/>
      </rPr>
      <t xml:space="preserve"> (pg.7-8) 
2. </t>
    </r>
    <r>
      <rPr>
        <u/>
        <sz val="10"/>
        <color rgb="FF1155CC"/>
        <rFont val="Montserrat"/>
      </rPr>
      <t xml:space="preserve">UN Women </t>
    </r>
    <r>
      <rPr>
        <sz val="10"/>
        <rFont val="Montserrat"/>
      </rPr>
      <t xml:space="preserve">(pg. 5-7) 
3. </t>
    </r>
    <r>
      <rPr>
        <u/>
        <sz val="10"/>
        <color rgb="FF1155CC"/>
        <rFont val="Montserrat"/>
      </rPr>
      <t>UN Women</t>
    </r>
    <r>
      <rPr>
        <sz val="10"/>
        <rFont val="Montserrat"/>
      </rPr>
      <t xml:space="preserve"> (pg. 8-10) </t>
    </r>
  </si>
  <si>
    <t>Promote flexible work options</t>
  </si>
  <si>
    <t>Flexible work options significantly enhance employee satisfaction, retention, and productivity. According to the article, 83% of U.S. employees value flexible working hours, while 74% consider location flexibility crucial. Workplace flexibility was also cited as the top reason for 44% of employees returning to the workforce after a temporary exit, demonstrating its role in talent retention and business competitiveness.</t>
  </si>
  <si>
    <t>The Impact Of Flexible Work And The Importance Of Adapting To Change, 2024</t>
  </si>
  <si>
    <t xml:space="preserve">1. Gauge employee interest in flexible work options 
2. Implement policies that are consistent with company values and offer flexible work options </t>
  </si>
  <si>
    <r>
      <rPr>
        <sz val="10"/>
        <rFont val="Montserrat"/>
      </rPr>
      <t xml:space="preserve">1. </t>
    </r>
    <r>
      <rPr>
        <u/>
        <sz val="10"/>
        <color rgb="FF1155CC"/>
        <rFont val="Montserrat"/>
      </rPr>
      <t>UN Women</t>
    </r>
    <r>
      <rPr>
        <sz val="10"/>
        <rFont val="Montserrat"/>
      </rPr>
      <t xml:space="preserve"> (pg.7-10) 
2. </t>
    </r>
    <r>
      <rPr>
        <u/>
        <sz val="10"/>
        <color rgb="FF1155CC"/>
        <rFont val="Montserrat"/>
      </rPr>
      <t>UN Women</t>
    </r>
    <r>
      <rPr>
        <sz val="10"/>
        <rFont val="Montserrat"/>
      </rPr>
      <t xml:space="preserve"> (pg. 1-7) </t>
    </r>
  </si>
  <si>
    <t>Ensure safe work environments</t>
  </si>
  <si>
    <t>Has policies and procedures to ensure safety, security,
confidentiality, and protection of victims of sexual
harassment at workplace</t>
  </si>
  <si>
    <t>Having robust anti-sexual harassment policies in the workplace significantly improves employee retention, career progression, and overall job security. According to the Limiting Our Livelihoods report, 38% of respondents who experienced harassment left their jobs earlier than planned, while 37% reported disruptions in career advancement due to harassment. Additionally, 59% of victims did not report incidents out of fear of retaliation, highlighting the critical need for policies ensuring safety, confidentiality, and protection​.</t>
  </si>
  <si>
    <t>AAUW Limiting Our Livelihoods, 2019</t>
  </si>
  <si>
    <t>1. Building and reinforcing a culture of respect and dignity in the workplace 
2. Building policies that promote workplace safety 
3. Provide trainings on Workplace safety measures ensuring that reporting mechanism are included in those trainings</t>
  </si>
  <si>
    <t>Provide leadership development</t>
  </si>
  <si>
    <t xml:space="preserve">Provides leadership training, coaching, and/or
mentoring to support women to access management
and leadership positions </t>
  </si>
  <si>
    <t>Mentoring and leadership training programs significantly improve women's access to management roles by enhancing career advancement opportunities and job satisfaction. According to the WEPs Guidance on Mentoring in the Workplace, Santander’s mentoring initiatives led to a 39% promotion rate among participants, while structured programs at Deloitte improved women's representation in leadership. Such programs also reduce employee turnover and address systemic barriers to gender diversity​.</t>
  </si>
  <si>
    <t>Mentoring in the Workplace</t>
  </si>
  <si>
    <t xml:space="preserve">1. Partner with external firms &amp; senior management to provide expert coaching and mentoring
2. Create an online resource hub that increases accessibility for women employees
3. Track the impact of coaching programs through post-training surveys
</t>
  </si>
  <si>
    <t xml:space="preserve">1. UN Women (page 10-15) 
2. UN Women (pg. 10-15 
3. UN Women (Pg. 28-29)  </t>
  </si>
  <si>
    <t>Ensure gender fairness in AI and machine learning systems</t>
  </si>
  <si>
    <t>Undertakes gender-responsive assessments of machine
learning and AI tools to prevent perpetuating gender
biases and avoid adverse impacts on women</t>
  </si>
  <si>
    <t>Gender-responsive assessments of AI and machine learning tools in hiring are crucial to preventing the perpetuation of gender biases. The report Automating Discrimination: AI Hiring Practices and Gender Inequality highlights that AI-driven hiring systems often replicate past biases, disadvantaging women by filtering out resumes with female-associated terms and limiting their access to high-paying  job advertisements​. Implementing AI audits can help organizations detect and mitigate these biases, ensuring fair recruitment practices while reducing legal risks under anti-discrimination laws​.</t>
  </si>
  <si>
    <t>Automating Discrimination: AI Hiring Practices and Gender Inequality</t>
  </si>
  <si>
    <t>1. Test all AI tools to ensure that they don't hold any bias. 
1A. feed your AI resumes of staff who are currently employed at your company and understand why the AI would push their resume forward or not 
1B. using this knowledge, you can redevelop the AI software you are using OR have someone "recheck" the AI's work for all submitted documents to AI tools</t>
  </si>
  <si>
    <r>
      <rPr>
        <sz val="10"/>
        <rFont val="Montserrat"/>
      </rPr>
      <t xml:space="preserve">1. </t>
    </r>
    <r>
      <rPr>
        <u/>
        <sz val="10"/>
        <color rgb="FF1155CC"/>
        <rFont val="Montserrat"/>
      </rPr>
      <t>Maastrich University</t>
    </r>
    <r>
      <rPr>
        <sz val="10"/>
        <rFont val="Montserrat"/>
      </rPr>
      <t xml:space="preserve"> (Page 7) </t>
    </r>
  </si>
  <si>
    <t>Conduct gender audit</t>
  </si>
  <si>
    <t>Conducting gender audits in financial institutions and organizations leads to improved business performance, enhanced risk management, and better talent retention. Companies that conducted gender assessments experienced increased financial returns and greater leadership diversity. Additionally, gender audits help mitigate legal and reputational risks while ensuring compliance with gender equality standards.</t>
  </si>
  <si>
    <t>1. Select which areas/departments you would like to conduct a gender audit on 
2. Decide whether your company would best benefit from an internal or external audit 
3. Collect all relevant documentation, policy, and information to analyze 
4. Thoroughly analyze existing policies to ensure they are gender equitable, using surveys and focus group discussions to fill any gaps in knowledge</t>
  </si>
  <si>
    <r>
      <rPr>
        <sz val="10"/>
        <rFont val="Montserrat"/>
      </rPr>
      <t xml:space="preserve">1. </t>
    </r>
    <r>
      <rPr>
        <u/>
        <sz val="10"/>
        <color rgb="FF1155CC"/>
        <rFont val="Montserrat"/>
      </rPr>
      <t>Akina Mama Wa Africa</t>
    </r>
    <r>
      <rPr>
        <sz val="10"/>
        <rFont val="Montserrat"/>
      </rPr>
      <t xml:space="preserve">  (pg. 5-7) 
2. </t>
    </r>
    <r>
      <rPr>
        <u/>
        <sz val="10"/>
        <color rgb="FF1155CC"/>
        <rFont val="Montserrat"/>
      </rPr>
      <t>ILO</t>
    </r>
    <r>
      <rPr>
        <sz val="10"/>
        <rFont val="Montserrat"/>
      </rPr>
      <t xml:space="preserve"> ( (pg. 8) 
3. </t>
    </r>
    <r>
      <rPr>
        <u/>
        <sz val="10"/>
        <color rgb="FF1155CC"/>
        <rFont val="Montserrat"/>
      </rPr>
      <t>European Institute for gender equality</t>
    </r>
    <r>
      <rPr>
        <sz val="10"/>
        <rFont val="Montserrat"/>
      </rPr>
      <t xml:space="preserve"> </t>
    </r>
  </si>
  <si>
    <t xml:space="preserve">Credit </t>
  </si>
  <si>
    <t>Product/Service</t>
  </si>
  <si>
    <t>Gender-sensitive approach to loan screening and approval</t>
  </si>
  <si>
    <t>Percentage of loans approved for businesses owned by women</t>
  </si>
  <si>
    <t>(Number of loans approved for businesses owned by women/Total number of business loans approved)*100</t>
  </si>
  <si>
    <r>
      <rPr>
        <u/>
        <sz val="10"/>
        <color rgb="FF1155CC"/>
        <rFont val="Montserrat"/>
      </rPr>
      <t>2X Criteria</t>
    </r>
  </si>
  <si>
    <t>Short-term</t>
  </si>
  <si>
    <t>Investing in gender-diverse organizations and women-owned businesses has demonstrated significant financial returns—almost twice as much revenue per dollar.</t>
  </si>
  <si>
    <t>European Investment Bank. (2022, April 1). Debunking myths. By Christina Juhasz &amp; Stephen O'Driscoll</t>
  </si>
  <si>
    <t>Business Banking</t>
  </si>
  <si>
    <t>Adopting the Gender-Intentional Credit Scoring Method: Conduct Gender Lens Analysis</t>
  </si>
  <si>
    <t>Gender-intentional Credit Scoring PG 5-7</t>
  </si>
  <si>
    <t>If customers are individuals, minimum % investor loan proceeds must be for women or minimum % of the portfolio must be women.</t>
  </si>
  <si>
    <t>(Number of investor loans approved for women/Total number of investor loans approved)*100</t>
  </si>
  <si>
    <t>Evidence from microfinance suggests that companies with women borrowers’ experience, on average, 6% higher earnings growth, increased assets, and 3% higher returns on equity compared to companies with fewer female borrowers. If women are prioritized by financial institutions in providing loans, then more women are encouraged and informed about financial services such as loans that can help boost economic interventions such as starting a business or investing in assets.</t>
  </si>
  <si>
    <t>Women’s World Banking. (2022, July 28). Women’s World Banking 2021 impact report.</t>
  </si>
  <si>
    <t>Retail Banking</t>
  </si>
  <si>
    <t>1. Adopting the Gender-Intentional Credit Scoring Method: Conduct Gender Lens Analysis</t>
  </si>
  <si>
    <t>Gender-sensitive approach to product designing and policy decisions at the firm level</t>
  </si>
  <si>
    <t>Long-term</t>
  </si>
  <si>
    <t>WMSMEs often face higher perceived risks by lenders due to factors such as limited access to assets to pledge as collateral, and shorter credit history records. Financial products such as guarantee schemes among others provide a risk-sharing mechanism that can facilitate access to finance to these enterprises.</t>
  </si>
  <si>
    <t>Financing Programs for Women's Financial Inclusion and Access to Finance for Women MSMEs</t>
  </si>
  <si>
    <t>Women's World Banking Toolkit to design financial products and services using a gender-lens</t>
  </si>
  <si>
    <t>Women's World banking's Women-centred Product Design Methodology</t>
  </si>
  <si>
    <t>Borrower</t>
  </si>
  <si>
    <t>Reducing gap between interest rates for men and women to promote women's access to credit at par with men</t>
  </si>
  <si>
    <t>Difference in interest rates between men and women borrowers (%)</t>
  </si>
  <si>
    <t>Average interest rate for loans approved for women - Average interest rate for loans approved for men</t>
  </si>
  <si>
    <t>CGAP Gender-intentional Credit Scoring</t>
  </si>
  <si>
    <t>Reducing YoY trend</t>
  </si>
  <si>
    <t>Medium-term</t>
  </si>
  <si>
    <t>If there is no difference in interest rates between men and women borrowers, women will not be discriminated against with regards to accessing credit and will be incentivized to boost their  business and/or educational to become comparable with men in the society through economic empowerment</t>
  </si>
  <si>
    <t>Adopting the Gender-Intentional Credit Scoring Method: Adding a gender characteristic to a scorecard is a transparent and simple way to directly reflect
differences in the past late repayment rates of women and men in credit scores.</t>
  </si>
  <si>
    <t>Gender-intentional Credit Scoring PG 16-19</t>
  </si>
  <si>
    <t>Reducing gap between loan size for men and women to promote women's access to credit at par with men</t>
  </si>
  <si>
    <t xml:space="preserve">Annual difference in average loan size of women vs men borrowers </t>
  </si>
  <si>
    <t>Difference between the average loan size for men and wo</t>
  </si>
  <si>
    <t>If there is no difference in average loan size between men and women borrowers, women will not be discriminated against with regards to accessing credit and will be incentivized to boost their business and/or education to become comparable with men in the society through economic empowerment</t>
  </si>
  <si>
    <t>Adopting the Gender-Intentional Credit Scoring Method to create the 'bad' rate% to incentivize larger loans for women at par with men: At a 5% acceptable risk target (expected “bad” rate), each of the gender-intentional strategies enables lending to a larger number of borrowers, and, particularly, a larger number or share of women, than using a gender-blind strategy.</t>
  </si>
  <si>
    <t>Conducting trainings and outreach activities with female clients to increase financial literacy to reduce the risk of indebtedness and promoting credit access for economic empowerment</t>
  </si>
  <si>
    <t>World Bank Digital Solutions Toolkit</t>
  </si>
  <si>
    <t>Approaches to addressing Women-owned SME skill gaps have traditionally centered around a single type of intervention, such as business training workshops, but research has shown that, particularly for poor women, bundling interventions — such as skill and resource enhancements through financial management training and access to credit or savings accounts — is more effective.</t>
  </si>
  <si>
    <t>Choudhary, H., Jain, H. Addressing Financial Exclusion through Financial Literacy training programs: a Systematic Literature Review. Empirical Res Voc Ed Train 15, 8 (2023).</t>
  </si>
  <si>
    <t>Learning from linked case studies and adopting community engagement strategy including trainings on financial literacy, credit planning etc.</t>
  </si>
  <si>
    <t>GIZ Women's Financial Inclusion Toolkit</t>
  </si>
  <si>
    <t>Financial Service Provider</t>
  </si>
  <si>
    <t>Recruiting and training female loan officers</t>
  </si>
  <si>
    <t>Percentage female loan officers hired annually</t>
  </si>
  <si>
    <t>100* (Number of women as loan officers/ Total number of loan officers)</t>
  </si>
  <si>
    <t>Female loan officers have greater social commitments than their male counterparts, along with greater loan approval rates. Loans approved for female loan officers have greater loan-size, especially when lending to women, which is a key operational strategy to improve the financial sustainability of MFIs. This gender affinity also reduces loan evaluation time reducing transaction costs for the bank.</t>
  </si>
  <si>
    <r>
      <rPr>
        <u/>
        <sz val="10"/>
        <color rgb="FF1155CC"/>
        <rFont val="Montserrat"/>
      </rPr>
      <t>A. Blanco-Oliver, A. Samaniego, M.J. Palacin-Sanchez,  How do loan officer-borrower gender-driven behavioral differences impact on the microfinance lending market?,  Borsa Istanbul Review,  Volume 24, Issue 3,  2024,  Pages 435-448,  ISSN 2214-8450</t>
    </r>
    <r>
      <rPr>
        <sz val="10"/>
        <rFont val="Montserrat"/>
      </rPr>
      <t xml:space="preserve">
</t>
    </r>
    <r>
      <rPr>
        <u/>
        <sz val="10"/>
        <color rgb="FF1155CC"/>
        <rFont val="Montserrat"/>
      </rPr>
      <t>Beck T. et al., 2009., Gender and Banking - Are women better loan officers? European Banking Center Discussion Paper No. 2009–19</t>
    </r>
  </si>
  <si>
    <t>Retail and Business Banking</t>
  </si>
  <si>
    <t>Recruiting and training female loan officers to foster an enabling environment for women's inclusion as financial service providers and thereby, also increasing financial inclusion of women with increased female borrowers</t>
  </si>
  <si>
    <t>UN Gender Finance Booklet PG 37-39</t>
  </si>
  <si>
    <t>Collecting data and utilizing it to sensitize field officers on gender bias through trainings to promote women's access to credit without the risk of indebtedness</t>
  </si>
  <si>
    <t>Women's World Banking Scorecard</t>
  </si>
  <si>
    <t xml:space="preserve">Gender Bias and Credit Access </t>
  </si>
  <si>
    <t xml:space="preserve">Reducing bias in the entire process of credit, especially in field activities can substantially encourage women's inclusion in finance </t>
  </si>
  <si>
    <r>
      <rPr>
        <sz val="10"/>
        <color theme="1"/>
        <rFont val="Montserrat"/>
      </rPr>
      <t xml:space="preserve">Adopt Women's World Banking gender bias scorecard to check </t>
    </r>
    <r>
      <rPr>
        <i/>
        <sz val="10"/>
        <color theme="1"/>
        <rFont val="Montserrat"/>
      </rPr>
      <t xml:space="preserve">credit process bias </t>
    </r>
    <r>
      <rPr>
        <sz val="10"/>
        <color theme="1"/>
        <rFont val="Montserrat"/>
      </rPr>
      <t>and conduct trainings on addressing the bias; additionally could also use AI to check bias in credit ratings and review the findings periodically.</t>
    </r>
  </si>
  <si>
    <r>
      <rPr>
        <u/>
        <sz val="10"/>
        <color rgb="FF1155CC"/>
        <rFont val="Montserrat"/>
      </rPr>
      <t>Women's World Banking Credit Score Bias PG 12-20</t>
    </r>
    <r>
      <rPr>
        <sz val="10"/>
        <rFont val="Montserrat"/>
      </rPr>
      <t xml:space="preserve">
</t>
    </r>
    <r>
      <rPr>
        <u/>
        <sz val="10"/>
        <color rgb="FF1155CC"/>
        <rFont val="Montserrat"/>
      </rPr>
      <t>Lendingkart's AI-based Credit Model</t>
    </r>
  </si>
  <si>
    <t>Reforming policy on loan repayment deploying a gender equity perspective being sensitive to the risks women face in accessing financial inclusion due to shorter turn-around time</t>
  </si>
  <si>
    <t>Case Studies on flexible loan repayment policy</t>
  </si>
  <si>
    <t>Flexible loan repayment program, which allowed traditional female microfinance borrowers in good standing and larger collateralized
borrowers to postpone (up to two monthly repayments in a 12-month loan cycle for instance), had on average a positive impact on business and socio-economic status outcomes for female microfinance borrowers</t>
  </si>
  <si>
    <t>Battaglia M. et al., 2021. Repayment Flexibility and Risk Taking: Experimental Evidence from Credit Contracts</t>
  </si>
  <si>
    <t>Sonata Finance Pvt. Ltd. policy on flexible loan repayment for microcredit</t>
  </si>
  <si>
    <t>Sonata Finance Pvt Ltd Case</t>
  </si>
  <si>
    <t>\</t>
  </si>
  <si>
    <t>Key Ratios</t>
  </si>
  <si>
    <t>Internal -Target</t>
  </si>
  <si>
    <t>Benchmark</t>
  </si>
  <si>
    <t>Recommended Action/Activity</t>
  </si>
  <si>
    <t>Gender distribution of employees</t>
  </si>
  <si>
    <t>Gender Aware Adopter</t>
  </si>
  <si>
    <t>Guide '!Q3</t>
  </si>
  <si>
    <t>Percentage of men employees</t>
  </si>
  <si>
    <t>Percentage of women managers</t>
  </si>
  <si>
    <t>Guide '!Q6</t>
  </si>
  <si>
    <t>Percentage of men managers</t>
  </si>
  <si>
    <t>Percentage of women on Board</t>
  </si>
  <si>
    <t>Guide '!Q9</t>
  </si>
  <si>
    <t>Percentage of men on Board</t>
  </si>
  <si>
    <t>Percentage of women on executive teams</t>
  </si>
  <si>
    <t>Guide '!Q11</t>
  </si>
  <si>
    <t>Percentage of men on executive teams</t>
  </si>
  <si>
    <t>Percentage of women in senior management</t>
  </si>
  <si>
    <t>Guide '!Q13</t>
  </si>
  <si>
    <t>Percentage of men in senior management</t>
  </si>
  <si>
    <t>Percentage of women in middle management</t>
  </si>
  <si>
    <t>Guide '!Q15</t>
  </si>
  <si>
    <t>Percentage of men in middle management</t>
  </si>
  <si>
    <t>Percentage of women in non-managerial staff</t>
  </si>
  <si>
    <t>Guide '!Q17</t>
  </si>
  <si>
    <t>Percentage of men in non-managerial staff</t>
  </si>
  <si>
    <t>Salary information</t>
  </si>
  <si>
    <t>Salary ratio of women to men in senior management</t>
  </si>
  <si>
    <t>Guide '!Q20</t>
  </si>
  <si>
    <t>Salary ratio of women to men in middle-management</t>
  </si>
  <si>
    <t>Salary ratio of women to men in non-managerial staff</t>
  </si>
  <si>
    <t>Average salary ratio-women: men</t>
  </si>
  <si>
    <t>Promotions/career progression</t>
  </si>
  <si>
    <t>Percentage of women new hires</t>
  </si>
  <si>
    <t>Guide '!Q23</t>
  </si>
  <si>
    <t>Proportion of women promoted to senior management positions in past 2 years</t>
  </si>
  <si>
    <t>Guide '!Q26</t>
  </si>
  <si>
    <t>Proportion of men promoted to senior management positions in past 2 years</t>
  </si>
  <si>
    <t>Ratio of women is to men promoted to senior management in past 2 years</t>
  </si>
  <si>
    <t>Proportion of women promoted to middle management positions in past 2 years</t>
  </si>
  <si>
    <t>Proportion of men promoted to middle management positions in past 2 years</t>
  </si>
  <si>
    <t>Ratio of women is to men promoted to middle management in past 2 years</t>
  </si>
  <si>
    <t>Parental Leave</t>
  </si>
  <si>
    <t>Percentage of women who worked for 12 months after returning from parental leave</t>
  </si>
  <si>
    <t>Guide '!Q29</t>
  </si>
  <si>
    <t>Percentage of men who worked for 12 months after returning from parental leave</t>
  </si>
  <si>
    <t>Guide '!Q33</t>
  </si>
  <si>
    <t>Grievance mechanism</t>
  </si>
  <si>
    <t>Guide '!Q36</t>
  </si>
  <si>
    <t>Percentage of women loan officers</t>
  </si>
  <si>
    <t>Guide '!Q40</t>
  </si>
  <si>
    <t>Percentage of women at underrepresented levels</t>
  </si>
  <si>
    <t>Guide '!Q43</t>
  </si>
  <si>
    <t>Ratio of average hours of training of women: men</t>
  </si>
  <si>
    <t>Guide '!Q45</t>
  </si>
  <si>
    <t>Marketing policy</t>
  </si>
  <si>
    <t>Guide '!Q47</t>
  </si>
  <si>
    <t>Policy supporting parents and caregivers</t>
  </si>
  <si>
    <t>Guide '!Q50</t>
  </si>
  <si>
    <t>Nondiscrimination &amp; equal opportunity policy</t>
  </si>
  <si>
    <t>Guide '!Q54</t>
  </si>
  <si>
    <t>Gender-responsive risk assessments for employees</t>
  </si>
  <si>
    <t>Guide '!Q55</t>
  </si>
  <si>
    <t>Guide '!Q58</t>
  </si>
  <si>
    <t>Does the organization have policies and procedures to ensure safety, security, confidentiality and protection of victims of sexual harassment in the workplace</t>
  </si>
  <si>
    <t>Guide '!Q60</t>
  </si>
  <si>
    <t>Does your organization support women in accessing management and leadership positions through training, coaching, mentoring</t>
  </si>
  <si>
    <t>Guide '!Q63</t>
  </si>
  <si>
    <t>Guide '!Q66</t>
  </si>
  <si>
    <t>Guide '!Q67</t>
  </si>
  <si>
    <t>End-borrower</t>
  </si>
  <si>
    <t>Guide '!Q70</t>
  </si>
  <si>
    <t>Percentage of loan proceeds for individual women</t>
  </si>
  <si>
    <t>Guide '!Q71</t>
  </si>
  <si>
    <t>Guide '!Q72</t>
  </si>
  <si>
    <t>Loan Characteristics</t>
  </si>
  <si>
    <t>Average interest rate on loans for women borrowers</t>
  </si>
  <si>
    <t>Guide '!Q73</t>
  </si>
  <si>
    <t>Average interest rate on loans for men borrowers</t>
  </si>
  <si>
    <t>Difference in average interest rate (average interest rate for women - average interest rate for men)</t>
  </si>
  <si>
    <t>Average loan size disbursed for women</t>
  </si>
  <si>
    <t>Guide '!Q74</t>
  </si>
  <si>
    <t>Average loan size disbursed for men</t>
  </si>
  <si>
    <t>Difference in loan size (average loan size disbursed for women - average loan size disbursed for men)</t>
  </si>
  <si>
    <t>Training for women borrowers on loan utilization, repayment plan and use of technology</t>
  </si>
  <si>
    <t>Guide '!Q75</t>
  </si>
  <si>
    <t>Percentage of women loan officers hired in last 12 months</t>
  </si>
  <si>
    <t>Guide '!Q76</t>
  </si>
  <si>
    <t>Do you have a score card? Is gender lens integrated in it? Is it periodically monitored?</t>
  </si>
  <si>
    <t>Guide '!Q77</t>
  </si>
  <si>
    <t>Guide '!Q79</t>
  </si>
  <si>
    <t>Women Empowerment Principles, 2021</t>
  </si>
  <si>
    <r>
      <rPr>
        <sz val="10"/>
        <rFont val="Montserrat"/>
      </rPr>
      <t>1.</t>
    </r>
    <r>
      <rPr>
        <u/>
        <sz val="10"/>
        <color rgb="FF1155CC"/>
        <rFont val="Montserrat"/>
      </rPr>
      <t xml:space="preserve"> Women in Workplace 2022, page 33</t>
    </r>
  </si>
  <si>
    <r>
      <rPr>
        <sz val="10"/>
        <rFont val="Montserrat"/>
      </rPr>
      <t xml:space="preserve">2. </t>
    </r>
    <r>
      <rPr>
        <u/>
        <sz val="10"/>
        <color rgb="FF1155CC"/>
        <rFont val="Montserrat"/>
      </rPr>
      <t>Women in Workplace 2022, page 44</t>
    </r>
    <r>
      <rPr>
        <sz val="10"/>
        <rFont val="Montserrat"/>
      </rPr>
      <t xml:space="preserve"> </t>
    </r>
  </si>
  <si>
    <t>3. Pay Transparency Tools to Close the Gender Wage Gap, page 24"</t>
  </si>
  <si>
    <t xml:space="preserve">
FTSE Women Leaders Review</t>
  </si>
  <si>
    <t>3. HeForShe Alliance
IMPACT REPORT 2024, page 12</t>
  </si>
  <si>
    <r>
      <rPr>
        <sz val="10"/>
        <rFont val="Montserrat"/>
      </rPr>
      <t xml:space="preserve">1.  </t>
    </r>
    <r>
      <rPr>
        <u/>
        <sz val="10"/>
        <color rgb="FF1155CC"/>
        <rFont val="Montserrat"/>
      </rPr>
      <t>OECD Corporate Governance Working Papers No. 28, page 9</t>
    </r>
    <r>
      <rPr>
        <sz val="10"/>
        <rFont val="Montserrat"/>
      </rPr>
      <t xml:space="preserve"> </t>
    </r>
  </si>
  <si>
    <t xml:space="preserve">2. Women's World Banking, page 18 </t>
  </si>
  <si>
    <r>
      <rPr>
        <sz val="10"/>
        <rFont val="Montserrat"/>
      </rPr>
      <t xml:space="preserve">1. </t>
    </r>
    <r>
      <rPr>
        <u/>
        <sz val="10"/>
        <color rgb="FF1155CC"/>
        <rFont val="Montserrat"/>
      </rPr>
      <t>Women's Empowerment Principles</t>
    </r>
    <r>
      <rPr>
        <sz val="10"/>
        <rFont val="Montserrat"/>
      </rPr>
      <t xml:space="preserve"> </t>
    </r>
  </si>
  <si>
    <t xml:space="preserve">2. Women in leadership, page 12 </t>
  </si>
  <si>
    <t>FTSE Women Leaders Review</t>
  </si>
  <si>
    <r>
      <rPr>
        <sz val="10"/>
        <rFont val="Montserrat"/>
      </rPr>
      <t xml:space="preserve">1. </t>
    </r>
    <r>
      <rPr>
        <u/>
        <sz val="10"/>
        <color rgb="FF1155CC"/>
        <rFont val="Montserrat"/>
      </rPr>
      <t xml:space="preserve">IWF </t>
    </r>
  </si>
  <si>
    <t>2. Women's World Banking, page 9</t>
  </si>
  <si>
    <r>
      <rPr>
        <sz val="10"/>
        <rFont val="Montserrat"/>
      </rPr>
      <t xml:space="preserve">1. </t>
    </r>
    <r>
      <rPr>
        <u/>
        <sz val="10"/>
        <color rgb="FF1155CC"/>
        <rFont val="Montserrat"/>
      </rPr>
      <t>IFC</t>
    </r>
    <r>
      <rPr>
        <sz val="10"/>
        <rFont val="Montserrat"/>
      </rPr>
      <t xml:space="preserve"> </t>
    </r>
  </si>
  <si>
    <t xml:space="preserve">2. UN Women 
</t>
  </si>
  <si>
    <t xml:space="preserve">3. World Bank </t>
  </si>
  <si>
    <t>The Simple Truth About the Gender Pay Gap, 2018</t>
  </si>
  <si>
    <t xml:space="preserve">1. ILO </t>
  </si>
  <si>
    <t>The Simple Truth About the Gender Pay Gap, 2022</t>
  </si>
  <si>
    <t xml:space="preserve">2. OECD </t>
  </si>
  <si>
    <t>EIB Gender equality and women’s economic empowerment</t>
  </si>
  <si>
    <t xml:space="preserve">3. OECD </t>
  </si>
  <si>
    <t xml:space="preserve">1. UN Special Measures for the Achievement of Gender Equality </t>
  </si>
  <si>
    <r>
      <rPr>
        <sz val="10"/>
        <rFont val="Montserrat"/>
      </rPr>
      <t xml:space="preserve">2. </t>
    </r>
    <r>
      <rPr>
        <u/>
        <sz val="10"/>
        <color rgb="FF1155CC"/>
        <rFont val="Montserrat"/>
      </rPr>
      <t>World Bank Group</t>
    </r>
    <r>
      <rPr>
        <sz val="10"/>
        <rFont val="Montserrat"/>
      </rPr>
      <t xml:space="preserve"> </t>
    </r>
  </si>
  <si>
    <t xml:space="preserve">3. ILO </t>
  </si>
  <si>
    <r>
      <rPr>
        <sz val="10"/>
        <rFont val="Montserrat"/>
      </rPr>
      <t xml:space="preserve">1. </t>
    </r>
    <r>
      <rPr>
        <u/>
        <sz val="10"/>
        <color rgb="FF1155CC"/>
        <rFont val="Montserrat"/>
      </rPr>
      <t>ILO</t>
    </r>
    <r>
      <rPr>
        <sz val="10"/>
        <rFont val="Montserrat"/>
      </rPr>
      <t xml:space="preserve"> (pag.30-31)</t>
    </r>
  </si>
  <si>
    <t>Gender Balance Index, 2024</t>
  </si>
  <si>
    <r>
      <rPr>
        <sz val="10"/>
        <rFont val="Montserrat"/>
      </rPr>
      <t xml:space="preserve">2. </t>
    </r>
    <r>
      <rPr>
        <u/>
        <sz val="10"/>
        <color rgb="FF1155CC"/>
        <rFont val="Montserrat"/>
      </rPr>
      <t>OECD</t>
    </r>
    <r>
      <rPr>
        <sz val="10"/>
        <rFont val="Montserrat"/>
      </rPr>
      <t xml:space="preserve"> (pag.16-17)</t>
    </r>
  </si>
  <si>
    <t>Toolkit for Mainstreaming and Implementing Gender Equality, 2023 (OECD)</t>
  </si>
  <si>
    <r>
      <rPr>
        <sz val="10"/>
        <rFont val="Montserrat"/>
      </rPr>
      <t xml:space="preserve">3. </t>
    </r>
    <r>
      <rPr>
        <u/>
        <sz val="10"/>
        <color rgb="FF1155CC"/>
        <rFont val="Montserrat"/>
      </rPr>
      <t>UN</t>
    </r>
    <r>
      <rPr>
        <sz val="10"/>
        <rFont val="Montserrat"/>
      </rPr>
      <t xml:space="preserve">  (pag.7-9)</t>
    </r>
  </si>
  <si>
    <t xml:space="preserve">1. ILO (pag.18-19) 
</t>
  </si>
  <si>
    <t>Paid Parental Leave and Female Faculty Retention</t>
  </si>
  <si>
    <t xml:space="preserve">2. OECD (pag.56-58) </t>
  </si>
  <si>
    <t>Buzzfeed’s Parental Leave Benefits Result In 95% Retention Rate</t>
  </si>
  <si>
    <t xml:space="preserve">3. EHRC (pag.16-18) </t>
  </si>
  <si>
    <t>93% of women remain with the company after 12 months of maternity leave</t>
  </si>
  <si>
    <r>
      <rPr>
        <sz val="10"/>
        <rFont val="Montserrat"/>
      </rPr>
      <t xml:space="preserve">1. </t>
    </r>
    <r>
      <rPr>
        <u/>
        <sz val="10"/>
        <color rgb="FF1155CC"/>
        <rFont val="Montserrat"/>
      </rPr>
      <t>ILO</t>
    </r>
    <r>
      <rPr>
        <sz val="10"/>
        <rFont val="Montserrat"/>
      </rPr>
      <t xml:space="preserve"> (pag.18-19) </t>
    </r>
  </si>
  <si>
    <r>
      <rPr>
        <sz val="10"/>
        <rFont val="Montserrat"/>
      </rPr>
      <t xml:space="preserve">1. </t>
    </r>
    <r>
      <rPr>
        <u/>
        <sz val="10"/>
        <color rgb="FF1155CC"/>
        <rFont val="Montserrat"/>
      </rPr>
      <t>OECD</t>
    </r>
    <r>
      <rPr>
        <sz val="10"/>
        <rFont val="Montserrat"/>
      </rPr>
      <t xml:space="preserve"> (pag 25-32)</t>
    </r>
  </si>
  <si>
    <t>2. OECD (pag. 9-12)</t>
  </si>
  <si>
    <t xml:space="preserve">3. OECD (pag.13-14) </t>
  </si>
  <si>
    <t>4. OECD (pag.24-26)</t>
  </si>
  <si>
    <r>
      <rPr>
        <sz val="10"/>
        <rFont val="Montserrat"/>
      </rPr>
      <t xml:space="preserve">1. </t>
    </r>
    <r>
      <rPr>
        <u/>
        <sz val="10"/>
        <color rgb="FF1155CC"/>
        <rFont val="Montserrat"/>
      </rPr>
      <t>UN Women</t>
    </r>
    <r>
      <rPr>
        <sz val="10"/>
        <rFont val="Montserrat"/>
      </rPr>
      <t xml:space="preserve"> (pag.12-14)</t>
    </r>
  </si>
  <si>
    <t xml:space="preserve">2. World Bank (pag.3-5) </t>
  </si>
  <si>
    <t xml:space="preserve">3. McKinsey's 2019 "Women in the Workplace" report, pag 5 and 18 </t>
  </si>
  <si>
    <r>
      <rPr>
        <sz val="10"/>
        <rFont val="Montserrat"/>
      </rPr>
      <t xml:space="preserve">1. </t>
    </r>
    <r>
      <rPr>
        <u/>
        <sz val="10"/>
        <color rgb="FF1155CC"/>
        <rFont val="Montserrat"/>
      </rPr>
      <t>OWSD</t>
    </r>
    <r>
      <rPr>
        <sz val="10"/>
        <rFont val="Montserrat"/>
      </rPr>
      <t xml:space="preserve"> </t>
    </r>
  </si>
  <si>
    <t>2. World Bank</t>
  </si>
  <si>
    <r>
      <rPr>
        <sz val="10"/>
        <rFont val="Montserrat"/>
      </rPr>
      <t xml:space="preserve">1. </t>
    </r>
    <r>
      <rPr>
        <u/>
        <sz val="10"/>
        <color rgb="FF1155CC"/>
        <rFont val="Montserrat"/>
      </rPr>
      <t>UN Women</t>
    </r>
    <r>
      <rPr>
        <sz val="10"/>
        <rFont val="Montserrat"/>
      </rPr>
      <t xml:space="preserve"> </t>
    </r>
  </si>
  <si>
    <t xml:space="preserve">2. IGC  </t>
  </si>
  <si>
    <r>
      <rPr>
        <sz val="10"/>
        <rFont val="Montserrat"/>
      </rPr>
      <t xml:space="preserve">1. </t>
    </r>
    <r>
      <rPr>
        <u/>
        <sz val="10"/>
        <color rgb="FF1155CC"/>
        <rFont val="Montserrat"/>
      </rPr>
      <t>UNICEF</t>
    </r>
    <r>
      <rPr>
        <sz val="10"/>
        <rFont val="Montserrat"/>
      </rPr>
      <t xml:space="preserve"> (pg. 13-14) </t>
    </r>
  </si>
  <si>
    <t>Delivering Gender Equality: Best Practices Framework in Male Dominated Industries (USAID, 2023)</t>
  </si>
  <si>
    <r>
      <rPr>
        <sz val="10"/>
        <rFont val="Montserrat"/>
      </rPr>
      <t xml:space="preserve">2. </t>
    </r>
    <r>
      <rPr>
        <u/>
        <sz val="10"/>
        <color rgb="FF1155CC"/>
        <rFont val="Montserrat"/>
      </rPr>
      <t>UNICEF</t>
    </r>
    <r>
      <rPr>
        <sz val="10"/>
        <rFont val="Montserrat"/>
      </rPr>
      <t xml:space="preserve"> (pg. 13-14)  </t>
    </r>
  </si>
  <si>
    <t xml:space="preserve">3. OECD (pg. 58-62) </t>
  </si>
  <si>
    <t xml:space="preserve">1. Identify employees who have taken parental leave and conduct a post-parental leave survey
2. Based on your findings, establish a clear parental leave policy that addresses any gaps that exist between current parental leave policies and the experience of employees
3. Conduct annual audits to ensure that parental leave meets the needs of employees and is being implemented equally at all locations of operation
4. Optionally, create/invest in creating caretaking programs for parents </t>
  </si>
  <si>
    <r>
      <rPr>
        <sz val="10"/>
        <rFont val="Montserrat"/>
      </rPr>
      <t xml:space="preserve">1. </t>
    </r>
    <r>
      <rPr>
        <u/>
        <sz val="10"/>
        <color rgb="FF1155CC"/>
        <rFont val="Montserrat"/>
      </rPr>
      <t>ILO</t>
    </r>
    <r>
      <rPr>
        <sz val="10"/>
        <rFont val="Montserrat"/>
      </rPr>
      <t xml:space="preserve"> (pg. 13-15) </t>
    </r>
  </si>
  <si>
    <r>
      <rPr>
        <sz val="10"/>
        <rFont val="Montserrat"/>
      </rPr>
      <t xml:space="preserve">2. </t>
    </r>
    <r>
      <rPr>
        <u/>
        <sz val="10"/>
        <color rgb="FF1155CC"/>
        <rFont val="Montserrat"/>
      </rPr>
      <t>ILO</t>
    </r>
    <r>
      <rPr>
        <sz val="10"/>
        <rFont val="Montserrat"/>
      </rPr>
      <t xml:space="preserve"> (pg. 13-15) </t>
    </r>
  </si>
  <si>
    <t xml:space="preserve">3.  European institute for gender equality </t>
  </si>
  <si>
    <t>4. European institute for gender equality</t>
  </si>
  <si>
    <t>UN Policy Template: Gender-based Violence and Harassment at Work</t>
  </si>
  <si>
    <r>
      <rPr>
        <sz val="10"/>
        <rFont val="Montserrat"/>
      </rPr>
      <t xml:space="preserve">1. </t>
    </r>
    <r>
      <rPr>
        <u/>
        <sz val="10"/>
        <color rgb="FF1155CC"/>
        <rFont val="Montserrat"/>
      </rPr>
      <t>UN Women</t>
    </r>
    <r>
      <rPr>
        <sz val="10"/>
        <rFont val="Montserrat"/>
      </rPr>
      <t xml:space="preserve"> (pg.7-8) </t>
    </r>
  </si>
  <si>
    <t xml:space="preserve">
UN Policy Template: Domestic Violence </t>
  </si>
  <si>
    <t xml:space="preserve">2. UN Women (pg. 5-7) </t>
  </si>
  <si>
    <t xml:space="preserve">3. UN Women (pg. 8-10) </t>
  </si>
  <si>
    <r>
      <rPr>
        <sz val="10"/>
        <rFont val="Montserrat"/>
      </rPr>
      <t xml:space="preserve">1. </t>
    </r>
    <r>
      <rPr>
        <u/>
        <sz val="10"/>
        <color rgb="FF1155CC"/>
        <rFont val="Montserrat"/>
      </rPr>
      <t>UN Women</t>
    </r>
    <r>
      <rPr>
        <sz val="10"/>
        <rFont val="Montserrat"/>
      </rPr>
      <t xml:space="preserve"> (pg.7-10) </t>
    </r>
  </si>
  <si>
    <t xml:space="preserve">
2. UN Women (pg. 1-7) </t>
  </si>
  <si>
    <t xml:space="preserve">1. UN Women (page 10-15) </t>
  </si>
  <si>
    <t xml:space="preserve">2. UN Women (pg. 10-15 </t>
  </si>
  <si>
    <t xml:space="preserve">3. UN Women (Pg. 28-29)  </t>
  </si>
  <si>
    <r>
      <rPr>
        <sz val="10"/>
        <rFont val="Montserrat"/>
      </rPr>
      <t xml:space="preserve">1. </t>
    </r>
    <r>
      <rPr>
        <u/>
        <sz val="10"/>
        <color rgb="FF1155CC"/>
        <rFont val="Montserrat"/>
      </rPr>
      <t>Akina Mama Wa Africa</t>
    </r>
    <r>
      <rPr>
        <sz val="10"/>
        <rFont val="Montserrat"/>
      </rPr>
      <t xml:space="preserve">  (pg. 5-7) </t>
    </r>
  </si>
  <si>
    <t xml:space="preserve">2. ILO ( (pg. 8) </t>
  </si>
  <si>
    <t xml:space="preserve">3. European Institute for gender equality </t>
  </si>
  <si>
    <t>Women's World Banking Credit Score Bias PG 12-20</t>
  </si>
  <si>
    <t>Lendingkart's AI-based Credit Model</t>
  </si>
  <si>
    <t>1. Employee Gender Distribution</t>
  </si>
  <si>
    <t>Women</t>
  </si>
  <si>
    <t>Middle Management</t>
  </si>
  <si>
    <t>Senior Management</t>
  </si>
  <si>
    <t>Board Members</t>
  </si>
  <si>
    <t>2. Ratio Salaries</t>
  </si>
  <si>
    <t>3. Promotions</t>
  </si>
  <si>
    <t>Promoted to middle management</t>
  </si>
  <si>
    <t>Promoted to senior management</t>
  </si>
  <si>
    <t>4. Parental Leaves</t>
  </si>
  <si>
    <t>Men</t>
  </si>
  <si>
    <t>5. Training</t>
  </si>
  <si>
    <t>Ratio of hours of training of women: men</t>
  </si>
  <si>
    <t>6. Number of loans</t>
  </si>
  <si>
    <t>Business</t>
  </si>
  <si>
    <t>Individual</t>
  </si>
  <si>
    <t>7. Difference in interest rate</t>
  </si>
  <si>
    <t>Difference in interest rate</t>
  </si>
  <si>
    <t>8. Difference in Loan size</t>
  </si>
  <si>
    <t>Difference in loan size</t>
  </si>
  <si>
    <t>9. HR Qualitative</t>
  </si>
  <si>
    <t>Target</t>
  </si>
  <si>
    <t>Policies and procedures to ensure safety, security, confidentiality and protection of victims of sexual harassment in the workplace</t>
  </si>
  <si>
    <t>support women in accessing management and leadership positions through training, coaching, mentoring</t>
  </si>
  <si>
    <t>Gender-responsive assessments of machine learning and AI tools to prevent perpetuating gender biases and avoid adverse impacts on women</t>
  </si>
  <si>
    <t>10. Credit Qualitative</t>
  </si>
  <si>
    <t>Remaining</t>
  </si>
  <si>
    <t>Framework</t>
  </si>
  <si>
    <t>This framework classifies companies into four progressive levels of gender inclusion based on their policies, implementation rigor, and systemic influence. It aligns with the Women’s Empowerment Principles (WEPs) categories—from Essential to Innovative</t>
  </si>
  <si>
    <t>A company that acknowledges the importance of gender equity but has no formalized policies or mechanisms for implementation. It demonstrates early-stage awareness but lacks structured action plans.
Key Characteristics:
-Recognizes gender equity as a business consideration.
-No formal gender policies but may have ad-hoc initiatives.
-Limited or no gender-disaggregated workforce data collection.
-Workplace culture and leadership commitments are emerging but not structured.</t>
  </si>
  <si>
    <t>A company that actively integrates gender-inclusive policies and programs into its operations but is still refining implementation, monitoring, and scaling efforts.
Key Characteristics:
-Formal gender equity policies exist but are inconsistently applied across business units.
-Early-stage tracking of gender-disaggregated workforce data (e.g., representation, pay gaps).
-Leadership demonstrates commitment, but gender considerations are not yet embedded in strategic decision-making.
-Initial efforts to support female career advancement (e.g., mentorship, inclusive recruitment policies).
-Gender equity considerations extend to some business functions but remain secondary to broader business goals.</t>
  </si>
  <si>
    <t>A company that has institutionalized gender equity across governance, workforce policies, and operations. It systematically tracks gender-disaggregated data, promotes leadership diversity, and advocates for gender inclusion beyond the organization.
Key Characteristics:
-Gender equity is an explicit business priority, embedded in governance, hiring, and performance management.
-Comprehensive data collection and reporting on gender equity indicators (e.g., workforce composition, leadership pipeline, pay equity, and retention trends).
-Leadership is actively involved in gender-equity initiatives at corporate and industry levels.
-Structured mentorship, sponsorship, and leadership development programs for women.
-Extends gender considerations beyond internal policies to partners, supply chains, and financial decision-making.</t>
  </si>
  <si>
    <t xml:space="preserve">Gender Equality Leader </t>
  </si>
  <si>
    <t xml:space="preserve">A company that is a global leader in gender equality, setting industry benchmarks, influencing policy, and driving systemic change beyond its operations. It pioneers gender-lens innovation, impact-driven leadership, and external advocacy.
Key Characteristics:
-Gender inclusion is a core strategic pillar with board-level oversight and accountability mechanisms.
-Transparent reporting on gender equity impact (e.g., sustainability reports, public commitments to gender-lens investing).
-Actively influences industry standards, policies, and regulatory frameworks.
-Recognized as an influential voice in global initiatives (e.g., 2X Challenge, SDG 5, B-Corp standards).
-Gender equity is woven into product design, customer engagement strategies, and market expansion efforts.
</t>
  </si>
  <si>
    <t>Minimal financial investment. Actions at this level require minor policy adjustments, awareness initiatives, or internal process modifications with little to no direct cost. These are typically quick wins that can be implemented with existing resources.</t>
  </si>
  <si>
    <t>Moderate financial investment. Requires some budget allocation for training, external partnerships, and operational modifications that go beyond internal policies. These actions may require dedicated staff time and external expertise.</t>
  </si>
  <si>
    <t>Significant financial investment. These actions involve structural policy shifts, leadership development programs, or external recruitment efforts that require a long-term commitment and financial resources. High-cost initiatives typically drive systemic change and offer the highest impact.</t>
  </si>
  <si>
    <t>Actions that can be quickly implemented with minimal changes to existing structures. These are usually policy updates, awareness initiatives, or minor process adjustments that require little to no additional budget.</t>
  </si>
  <si>
    <t>Actions requiring moderate process changes, training programs, or external partnerships. These initiatives involve some investment and cross-functional coordination but do not require fundamental structural shifts.</t>
  </si>
  <si>
    <t>Actions that involve structural and cultural transformation. These require executive buy-in, substantial budget allocation, and long-term policy integration.</t>
  </si>
  <si>
    <t>List</t>
  </si>
  <si>
    <t>Policies</t>
  </si>
  <si>
    <t>Yes-stand alone policy</t>
  </si>
  <si>
    <t>Yes-part of corporate policy</t>
  </si>
  <si>
    <t>In progress of making</t>
  </si>
  <si>
    <t>Self-Assessment'!A1</t>
  </si>
  <si>
    <t>HR Database (optional)'!A1</t>
  </si>
  <si>
    <t>Inputs!A1</t>
  </si>
  <si>
    <t>Output!A1</t>
  </si>
  <si>
    <t>Dashboard!A1</t>
  </si>
  <si>
    <t>Gender Equity Leader'!A1</t>
  </si>
  <si>
    <t>Your Organization</t>
  </si>
  <si>
    <t>Organizational Status</t>
  </si>
  <si>
    <t xml:space="preserve">Increase overall women workforce </t>
  </si>
  <si>
    <t>Number of women employee: XX
Total employees: XX
Percentage of women employees: XX</t>
  </si>
  <si>
    <t>Number of women managers: XX
Total number of managers: XX
Percentage of women managers: XX</t>
  </si>
  <si>
    <t>(Number of Women on Board/Total Board Members)x100</t>
  </si>
  <si>
    <t>Number of women on Board: XX
Total Board Members:XX
Percentage of women on Board:XX</t>
  </si>
  <si>
    <t>Number of women in Executive Roles or Partners: XX
Total Executive Roles:XX
Percentage of women on executive teams:XX</t>
  </si>
  <si>
    <t>Number of women in senior management: XX
Total members of senior management: XX
% of women in senior management: XX</t>
  </si>
  <si>
    <t>Number of women in middle management:XX
Total number of middle management members:XX
Percentage of women in middle management:XX</t>
  </si>
  <si>
    <t>Number of women in non-managerial staff: XX
Total number of non-managerial staff: XX
Percentage of women in non-managerial staff: XX</t>
  </si>
  <si>
    <r>
      <t xml:space="preserve">Median salary of women in a top mgmt: </t>
    </r>
    <r>
      <rPr>
        <sz val="10"/>
        <color rgb="FFFF0000"/>
        <rFont val="Montserrat"/>
      </rPr>
      <t>xx</t>
    </r>
    <r>
      <rPr>
        <sz val="10"/>
        <color theme="1"/>
        <rFont val="Montserrat"/>
      </rPr>
      <t xml:space="preserve">
Median salary of men in top mgmt: </t>
    </r>
    <r>
      <rPr>
        <sz val="10"/>
        <color rgb="FFFF0000"/>
        <rFont val="Montserrat"/>
      </rPr>
      <t>xx</t>
    </r>
    <r>
      <rPr>
        <sz val="10"/>
        <color theme="1"/>
        <rFont val="Montserrat"/>
      </rPr>
      <t xml:space="preserve">
Ratio of women to men in top mgmt:</t>
    </r>
    <r>
      <rPr>
        <sz val="10"/>
        <color rgb="FFFF0000"/>
        <rFont val="Montserrat"/>
      </rPr>
      <t xml:space="preserve">xx
</t>
    </r>
    <r>
      <rPr>
        <sz val="10"/>
        <color theme="1"/>
        <rFont val="Montserrat"/>
      </rPr>
      <t xml:space="preserve">
Median salary of women in a mid-mgmt: </t>
    </r>
    <r>
      <rPr>
        <sz val="10"/>
        <color rgb="FFFF0000"/>
        <rFont val="Montserrat"/>
      </rPr>
      <t>xx</t>
    </r>
    <r>
      <rPr>
        <sz val="10"/>
        <color theme="1"/>
        <rFont val="Montserrat"/>
      </rPr>
      <t xml:space="preserve">
Median salary of men in mid- mgmt:</t>
    </r>
    <r>
      <rPr>
        <sz val="10"/>
        <color rgb="FFFF0000"/>
        <rFont val="Montserrat"/>
      </rPr>
      <t xml:space="preserve"> xx</t>
    </r>
    <r>
      <rPr>
        <sz val="10"/>
        <color theme="1"/>
        <rFont val="Montserrat"/>
      </rPr>
      <t xml:space="preserve">
Ratio of women to men in mid-mgmt:</t>
    </r>
    <r>
      <rPr>
        <sz val="10"/>
        <color rgb="FFFF0000"/>
        <rFont val="Montserrat"/>
      </rPr>
      <t>xx</t>
    </r>
    <r>
      <rPr>
        <sz val="10"/>
        <color theme="1"/>
        <rFont val="Montserrat"/>
      </rPr>
      <t xml:space="preserve">
Median salary of women in non-managerial staff: </t>
    </r>
    <r>
      <rPr>
        <sz val="10"/>
        <color rgb="FFFF0000"/>
        <rFont val="Montserrat"/>
      </rPr>
      <t>xx</t>
    </r>
    <r>
      <rPr>
        <sz val="10"/>
        <color theme="1"/>
        <rFont val="Montserrat"/>
      </rPr>
      <t xml:space="preserve">
Median salary of men in non-managerial staff: </t>
    </r>
    <r>
      <rPr>
        <sz val="10"/>
        <color rgb="FFFF0000"/>
        <rFont val="Montserrat"/>
      </rPr>
      <t>xx</t>
    </r>
    <r>
      <rPr>
        <sz val="10"/>
        <color theme="1"/>
        <rFont val="Montserrat"/>
      </rPr>
      <t xml:space="preserve">
Ratio of women to men in non-managerial staff</t>
    </r>
    <r>
      <rPr>
        <sz val="10"/>
        <color rgb="FFFF0000"/>
        <rFont val="Montserrat"/>
      </rPr>
      <t>:xx</t>
    </r>
    <r>
      <rPr>
        <sz val="10"/>
        <color theme="1"/>
        <rFont val="Montserrat"/>
      </rPr>
      <t xml:space="preserve">
Average of the ratios:</t>
    </r>
  </si>
  <si>
    <t>Number of women new hires:XX
Total number of new hires:XX
Percentage of women new hires:XX</t>
  </si>
  <si>
    <t>No. of women promoted from Senior Mgmt: xx
No. of women in Snr Mgmt (2 year average): xx
No.promoted from Mid mgmt:xx
No. of women in Mid Mgmt (2 year average): xx
No.promoted from non-magerial/entry level:xx
No. of women in non-managerial/entry level (2 year average): xx</t>
  </si>
  <si>
    <r>
      <rPr>
        <u/>
        <sz val="10"/>
        <color rgb="FF1155CC"/>
        <rFont val="Montserrat"/>
      </rPr>
      <t xml:space="preserve">McKinsey Diversity matters even more: The case for holistic impact, 2023
</t>
    </r>
    <r>
      <rPr>
        <sz val="10"/>
        <rFont val="Montserrat"/>
      </rPr>
      <t xml:space="preserve">
</t>
    </r>
    <r>
      <rPr>
        <u/>
        <sz val="10"/>
        <color rgb="FF1155CC"/>
        <rFont val="Montserrat"/>
      </rPr>
      <t>Gender Balance Index, 2024
Toolkit for Mainstreaming and Implementing Gender Equality, 2023 (OECD)</t>
    </r>
  </si>
  <si>
    <r>
      <t xml:space="preserve">(Number of Women Returning After Parental Leave </t>
    </r>
    <r>
      <rPr>
        <sz val="10"/>
        <color rgb="FFC00000"/>
        <rFont val="Montserrat"/>
      </rPr>
      <t>(and works 12 months post leave)</t>
    </r>
    <r>
      <rPr>
        <sz val="10"/>
        <rFont val="Montserrat"/>
      </rPr>
      <t xml:space="preserve"> / Total Women Taking Leave) × 100</t>
    </r>
  </si>
  <si>
    <r>
      <t xml:space="preserve">Number of women returning after parental leave </t>
    </r>
    <r>
      <rPr>
        <sz val="10"/>
        <color rgb="FFC00000"/>
        <rFont val="Montserrat"/>
      </rPr>
      <t xml:space="preserve">(and works 12 months post leave):XX
</t>
    </r>
    <r>
      <rPr>
        <sz val="10"/>
        <rFont val="Montserrat"/>
      </rPr>
      <t>Total number of women taking parental leave: XX
Percentage of women who worked for 12 months after returning from parental leave: XX</t>
    </r>
  </si>
  <si>
    <r>
      <rPr>
        <u/>
        <sz val="10"/>
        <color rgb="FF1155CC"/>
        <rFont val="Montserrat"/>
      </rPr>
      <t xml:space="preserve">Why Paid Family Leave Is Good Business
Paid Parental Leave and Female Faculty Retention
</t>
    </r>
    <r>
      <rPr>
        <sz val="10"/>
        <rFont val="Montserrat"/>
      </rPr>
      <t xml:space="preserve">
</t>
    </r>
    <r>
      <rPr>
        <u/>
        <sz val="10"/>
        <color rgb="FF1155CC"/>
        <rFont val="Montserrat"/>
      </rPr>
      <t>Buzzfeed’s Parental Leave Benefits Result In 95% Retention Rate</t>
    </r>
    <r>
      <rPr>
        <sz val="10"/>
        <rFont val="Montserrat"/>
      </rPr>
      <t xml:space="preserve">
</t>
    </r>
    <r>
      <rPr>
        <u/>
        <sz val="10"/>
        <color rgb="FF1155CC"/>
        <rFont val="Montserrat"/>
      </rPr>
      <t>93% of women remain with the comapny after 12 months of maternity leave</t>
    </r>
  </si>
  <si>
    <t>World Bank research has found that extending the duration of maternity leave is linked to a reduction of women’s participation in the workforce. Furthermore, the data suggests that parental parity is in fact positively correlated with higher female labour-force participation. Achieving workforce gender parity, therefore, requires governments and businesses to facilitate for the adoption and exercise of equitable parental leave, ensuring childcare responsibilities are shared equitably.</t>
  </si>
  <si>
    <r>
      <t xml:space="preserve">(Number of Men Returning After Parental Leave </t>
    </r>
    <r>
      <rPr>
        <sz val="10"/>
        <color rgb="FFC00000"/>
        <rFont val="Montserrat"/>
      </rPr>
      <t>(and stays 12 month post leave)</t>
    </r>
    <r>
      <rPr>
        <sz val="10"/>
        <color theme="1"/>
        <rFont val="Montserrat"/>
      </rPr>
      <t xml:space="preserve"> / Total Men Taking Leave) × 100</t>
    </r>
  </si>
  <si>
    <r>
      <t xml:space="preserve">Number of men returning after parental leave </t>
    </r>
    <r>
      <rPr>
        <sz val="10"/>
        <color rgb="FFC00000"/>
        <rFont val="Montserrat"/>
      </rPr>
      <t xml:space="preserve">(and works 12 months post leave):XX
</t>
    </r>
    <r>
      <rPr>
        <sz val="10"/>
        <rFont val="Montserrat"/>
      </rPr>
      <t>Total number of men taking parental leave: XX
Percentage of men who worked for 12 months after returning from parental leave: XX</t>
    </r>
  </si>
  <si>
    <t>Do you have a greviance mechanism: XX
Is it confidential: XX
Do you have a resolution mechanism: XX
Non retaliation mechanism: XX</t>
  </si>
  <si>
    <t>Number of loans approved for businesses owned by women: XX
Total number of business loans approved: XX
Percentage of loans approved for businesses owned by women: XX</t>
  </si>
  <si>
    <t>Loans approved for women ($): XX
Total loans approved ($): XX
Percentage of loan proceeds for individual women: XX</t>
  </si>
  <si>
    <t>Sum of interest rate for loans approved for women: XX
Number of loans approved for women: XX
Average interest rate on loans for women borrowers: XX
Sum of interest rate for loans approved for men: XX
Number of loans approved for men: XX
Average interest rate on loans for men borrowers: XX
Difference in average interest rate (average interest rate for women - average interest rate for men): XX</t>
  </si>
  <si>
    <t>If there is no difference in interest rates between men and women borrowers, women will not be discriminated against with regards to accessing credit and will be incentivized to boost their  business and/or educational to become comparable with men in the society throguh economic empowerment</t>
  </si>
  <si>
    <t xml:space="preserve">Total amount of loan disbursed to women: xx
Total number of loan disbursed to women: xx
Average loan size disbursed to women: xx
Total amount of loan disbursed to men:xx
Total number of loan disbursed to men:xx
Average loan size disbursed to men: xx
Average loan size disbursed to women - average loan size disbursed for men </t>
  </si>
  <si>
    <t>¹ Department Heads (Strategic Leadership), Regional &amp; Country Leadership, Branch &amp; Functional Unit Heads (Client-Facing / Business Units), Credit &amp; Investment Leadership, Business Development &amp; Product Management, Technology &amp; Digital Banking Leaders, etc. This would be the combined set of roles considered under points 3 and 4 below.
² Chief Executive Officer, Chief Financial Officer, Chief Investment Officer, Chief Operations Officer, Chief Credit Officer, etc.
³ Department Heads (Finance, Risk, Credit, Treasury, HR, Operations), Regional Managers, Senior Credit &amp; Risk Managers, Senior Investment &amp; Portfolio Managers, Senior Business Development Managers, Senior Product Managers
⁴ Branch Managers, Business Unit Heads (Finance, Operations, Risk, HR, Credit, Treasury), Credit Risk &amp; Underwriting Officers, Portfolio &amp; Investment Associates, Digital Banking Leads, IT &amp; Data Analytics Managers
⁵ Loan Officers, Analysts, Field Officers, Customer Service Staff
⁶⁷⁸⁹⁰</t>
  </si>
  <si>
    <t>Metric Category</t>
  </si>
  <si>
    <t>Methodology of measurement</t>
  </si>
  <si>
    <t>Baseline Value</t>
  </si>
  <si>
    <t>Current Value</t>
  </si>
  <si>
    <t>Current Frequency</t>
  </si>
  <si>
    <t>Responsible Team Member</t>
  </si>
  <si>
    <t>User Guide</t>
  </si>
  <si>
    <t>Provide clear succinct instructions on usage</t>
  </si>
  <si>
    <t>HR</t>
  </si>
  <si>
    <t>Repository of all indicators-try to cap it to 30-40? Just to give options; most orgs will likely only be able to track 5-10 gender metrics. Don't want to overburden with measurement.</t>
  </si>
  <si>
    <t>have check boxes here on what they want to achieve and indicators, which will flow into the Dashboard</t>
  </si>
  <si>
    <t>Repository of all indicators-try to cap it to 20-30? Just to give options; most orgs will likely only be able to track 5-10 gender metrics. Don't want to overburden with measurement.</t>
  </si>
  <si>
    <t>Helps org personalize and operationalize the toolkit; should be designed in such a way that one can copy paste it directly into their reporting slides--&gt;ease of use important</t>
  </si>
  <si>
    <r>
      <rPr>
        <sz val="10"/>
        <color theme="1"/>
        <rFont val="Times New Roman"/>
        <family val="1"/>
      </rPr>
      <t xml:space="preserve">Suggestions for the client:                                                                                                                                     </t>
    </r>
    <r>
      <rPr>
        <b/>
        <sz val="10"/>
        <color theme="1"/>
        <rFont val="Times New Roman"/>
        <family val="1"/>
      </rPr>
      <t>Automated Data Tracking (what pur dashboard aims to do!)</t>
    </r>
    <r>
      <rPr>
        <sz val="10"/>
        <color theme="1"/>
        <rFont val="Times New Roman"/>
        <family val="1"/>
      </rPr>
      <t xml:space="preserve">: The bank should set up an HR dashboard using Power BI or Excel to monitor gender diversity trends in real time.                                                                                        
</t>
    </r>
    <r>
      <rPr>
        <b/>
        <sz val="10"/>
        <color theme="1"/>
        <rFont val="Times New Roman"/>
        <family val="1"/>
      </rPr>
      <t>Quarterly Review Cycles</t>
    </r>
    <r>
      <rPr>
        <sz val="10"/>
        <color theme="1"/>
        <rFont val="Times New Roman"/>
        <family val="1"/>
      </rPr>
      <t>: Gender diversity should be reviewed every 3-</t>
    </r>
    <r>
      <rPr>
        <b/>
        <sz val="10"/>
        <color theme="1"/>
        <rFont val="Times New Roman"/>
        <family val="1"/>
      </rPr>
      <t>6</t>
    </r>
    <r>
      <rPr>
        <sz val="10"/>
        <color theme="1"/>
        <rFont val="Times New Roman"/>
        <family val="1"/>
      </rPr>
      <t xml:space="preserve"> months to track progress and make policy adjustments.                                                                                        
</t>
    </r>
    <r>
      <rPr>
        <b/>
        <sz val="10"/>
        <color theme="1"/>
        <rFont val="Times New Roman"/>
        <family val="1"/>
      </rPr>
      <t>Targeted HR Interventions</t>
    </r>
    <r>
      <rPr>
        <sz val="10"/>
        <color theme="1"/>
        <rFont val="Times New Roman"/>
        <family val="1"/>
      </rPr>
      <t xml:space="preserve">: If a </t>
    </r>
    <r>
      <rPr>
        <b/>
        <sz val="10"/>
        <color theme="1"/>
        <rFont val="Times New Roman"/>
        <family val="1"/>
      </rPr>
      <t>metric falls below industry</t>
    </r>
    <r>
      <rPr>
        <sz val="10"/>
        <color theme="1"/>
        <rFont val="Times New Roman"/>
        <family val="1"/>
      </rPr>
      <t xml:space="preserve"> benchmarks, the HR department must implement corrective actions, such as gender bias training or leadership mentorship programs.                                                                                        
                                                                                     </t>
    </r>
  </si>
  <si>
    <t xml:space="preserve">Have to separately think about how easily to transfer HR, Credit sheet data into dashboard; should we use dropdowns? or simple checkboxes; </t>
  </si>
  <si>
    <t>we may have to do a lot of count if's/ i'm trying to do a mockup offline to see how</t>
  </si>
  <si>
    <t>Think of how to categorize orgs based on indicators? have a system? can we find an already existing classification?</t>
  </si>
  <si>
    <t>Structure: Recruitment Category</t>
  </si>
  <si>
    <t>Metric</t>
  </si>
  <si>
    <t>Selected (Yes/No)</t>
  </si>
  <si>
    <t>Individual Score</t>
  </si>
  <si>
    <t>Gender-neutral job descriptions</t>
  </si>
  <si>
    <t>% of female applicants</t>
  </si>
  <si>
    <t>Hiring panel diversity</t>
  </si>
  <si>
    <t>Women as % of total new hires</t>
  </si>
  <si>
    <t>Recruitment Category Score</t>
  </si>
  <si>
    <t>-</t>
  </si>
  <si>
    <t>(2+3+4)/3 = 3</t>
  </si>
  <si>
    <t>If they select multiple metrics, we take an average of the scores.</t>
  </si>
  <si>
    <t>The category score then leads to the recommendation.</t>
  </si>
  <si>
    <t xml:space="preserve"> Formula Implementation</t>
  </si>
  <si>
    <t>Count Selected Metrics: COUNTIF(B2:B5, "Yes")</t>
  </si>
  <si>
    <t>which would count total yes against weights</t>
  </si>
  <si>
    <t>Calculate the Total Score SUMIF(B2:B5, "Yes", C2:C5)</t>
  </si>
  <si>
    <t>provide total sum</t>
  </si>
  <si>
    <t>Final Category Score (Average if metrics are weighted equally): IF(A2=0, 0, SUMIF(B2:B5, "Yes", C2:C5)/COUNTIF(B2:B5, "Yes"))</t>
  </si>
  <si>
    <t>Final recruitment strategy</t>
  </si>
  <si>
    <t xml:space="preserve">Generate Recommendation Based on Score (Example):=IF(D6&lt;=2, "Develop inclusive recruitment policies", 
  IF(D6&lt;=3.5, "Review hiring practices for bias", 
  "Strong recruitment diversity practices in place"))
</t>
  </si>
  <si>
    <t>Lead to recommendation</t>
  </si>
  <si>
    <t>Increase overall gender balance in workforce</t>
  </si>
  <si>
    <t>Percent of men employees</t>
  </si>
  <si>
    <t>(Number of Men Employees/Total Employees)×100</t>
  </si>
  <si>
    <t>Gender Gap Report, 2024
Gender Balance Index, 2024</t>
  </si>
  <si>
    <t>Promote gender balance in management</t>
  </si>
  <si>
    <t>Percent of men in management positions</t>
  </si>
  <si>
    <t>(Number of Men Managers / Total Managers) × 100</t>
  </si>
  <si>
    <t>Women Empowerment Principles, 2022</t>
  </si>
  <si>
    <t>McKinsey Diversity matters even more: The case for holistic impact, 2023
Gender Balance Index, 2024</t>
  </si>
  <si>
    <t>Senior Leadership &amp; HR</t>
  </si>
  <si>
    <t>Enhance gender balance on boards</t>
  </si>
  <si>
    <t>Percent of men on boards</t>
  </si>
  <si>
    <t>(Number of Men in Board/Total Board Members)x100</t>
  </si>
  <si>
    <t>Women Empowerment Principles, 2023</t>
  </si>
  <si>
    <t>Board Nominating Committee</t>
  </si>
  <si>
    <t>Enhance gender balance on executive teams</t>
  </si>
  <si>
    <t xml:space="preserve">Percent of men on executive teams </t>
  </si>
  <si>
    <t>(Number of Men in Executive Roles/Total Executive Roles)x100</t>
  </si>
  <si>
    <t>Women Empowerment Principles, 2024</t>
  </si>
  <si>
    <t>Gender Equality Trailblazer</t>
  </si>
  <si>
    <t>Women Empowerment Principles, 2027</t>
  </si>
  <si>
    <t>Value</t>
  </si>
  <si>
    <t>Job Description</t>
  </si>
  <si>
    <t>Female Applicants</t>
  </si>
  <si>
    <t>Example</t>
  </si>
  <si>
    <t>New Hires</t>
  </si>
  <si>
    <t>Total</t>
  </si>
  <si>
    <t>Female</t>
  </si>
  <si>
    <t>Outreach Programs</t>
  </si>
  <si>
    <t>Internship Slots</t>
  </si>
  <si>
    <t>Employee Data</t>
  </si>
  <si>
    <t>Employee Name</t>
  </si>
  <si>
    <t>Salary</t>
  </si>
  <si>
    <t>Hire Date</t>
  </si>
  <si>
    <t>Performance</t>
  </si>
  <si>
    <t>Position</t>
  </si>
  <si>
    <r>
      <rPr>
        <b/>
        <sz val="11"/>
        <color theme="1"/>
        <rFont val="Arial"/>
        <family val="2"/>
      </rPr>
      <t>Dept</t>
    </r>
    <r>
      <rPr>
        <sz val="11"/>
        <color theme="1"/>
        <rFont val="Arial"/>
        <family val="2"/>
      </rPr>
      <t>.</t>
    </r>
  </si>
  <si>
    <t>Gender Pay Gap</t>
  </si>
  <si>
    <t>Max</t>
  </si>
  <si>
    <t>M</t>
  </si>
  <si>
    <t>Gender Policy Awareness</t>
  </si>
  <si>
    <t>Swathi</t>
  </si>
  <si>
    <t>F</t>
  </si>
  <si>
    <t>Reporting Mechanism Awareness</t>
  </si>
  <si>
    <t>Aanchal</t>
  </si>
  <si>
    <t>Neema</t>
  </si>
  <si>
    <t>Ale</t>
  </si>
  <si>
    <t>Jennifer</t>
  </si>
  <si>
    <t>Shria</t>
  </si>
  <si>
    <t>Retention Rate, female</t>
  </si>
  <si>
    <t>≥85%</t>
  </si>
  <si>
    <t>Attrition Rate, female</t>
  </si>
  <si>
    <t>≤10%</t>
  </si>
  <si>
    <t>Post Parental Leave Return Rate</t>
  </si>
  <si>
    <t>≥90%</t>
  </si>
  <si>
    <t>Credit Metrics</t>
  </si>
  <si>
    <t>Client Name</t>
  </si>
  <si>
    <t>Loan Amount</t>
  </si>
  <si>
    <t>Loan Type</t>
  </si>
  <si>
    <t>Loan Date</t>
  </si>
  <si>
    <t>Notes</t>
  </si>
  <si>
    <t>Loans to men</t>
  </si>
  <si>
    <t>Maxwell</t>
  </si>
  <si>
    <t>Loans to women</t>
  </si>
  <si>
    <t>Women:men</t>
  </si>
  <si>
    <t>Businesses owned by women</t>
  </si>
  <si>
    <t>Capacity building, training, consulting session</t>
  </si>
  <si>
    <t>COUNT of Salary</t>
  </si>
  <si>
    <t>Grand Total</t>
  </si>
  <si>
    <t>(All)</t>
  </si>
  <si>
    <t/>
  </si>
  <si>
    <t>AVERAGE of Loan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</si>
</sst>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quot;$&quot;#,##0"/>
    <numFmt numFmtId="166" formatCode="[$-409]mmm\-yy;@"/>
    <numFmt numFmtId="167" formatCode="[$-409]dd\-mmm\-yy;@"/>
    <numFmt numFmtId="168" formatCode="_(* #,##0_);_(* \(#,##0\);_(* &quot;-&quot;??_);_(@_)"/>
    <numFmt numFmtId="169" formatCode="0.0"/>
  </numFmts>
  <fonts count="61">
    <font>
      <sz val="10"/>
      <color rgb="FF000000"/>
      <name val="Arial"/>
      <scheme val="minor"/>
    </font>
    <font>
      <sz val="11"/>
      <color theme="1"/>
      <name val="GloberRegular"/>
      <family val="2"/>
    </font>
    <font>
      <b/>
      <sz val="10"/>
      <color rgb="FFFFFFFF"/>
      <name val="Montserrat"/>
    </font>
    <font>
      <b/>
      <sz val="10"/>
      <color theme="1"/>
      <name val="Montserrat"/>
    </font>
    <font>
      <sz val="10"/>
      <color theme="1"/>
      <name val="Montserrat"/>
    </font>
    <font>
      <b/>
      <sz val="10"/>
      <color rgb="FF000000"/>
      <name val="Montserrat"/>
    </font>
    <font>
      <sz val="10"/>
      <color rgb="FF000000"/>
      <name val="Montserrat"/>
    </font>
    <font>
      <u/>
      <sz val="10"/>
      <color rgb="FF1155CC"/>
      <name val="Montserrat"/>
    </font>
    <font>
      <u/>
      <sz val="10"/>
      <color rgb="FF0000FF"/>
      <name val="Montserrat"/>
    </font>
    <font>
      <sz val="10"/>
      <color rgb="FF0000FF"/>
      <name val="Montserrat"/>
    </font>
    <font>
      <sz val="10"/>
      <color theme="1"/>
      <name val="Arial"/>
      <family val="2"/>
      <scheme val="minor"/>
    </font>
    <font>
      <sz val="10"/>
      <color rgb="FF1B1B1B"/>
      <name val="Montserrat"/>
    </font>
    <font>
      <sz val="11"/>
      <color theme="1"/>
      <name val="Arial"/>
      <family val="2"/>
      <scheme val="minor"/>
    </font>
    <font>
      <i/>
      <sz val="8"/>
      <color rgb="FFFFFFFF"/>
      <name val="Montserrat"/>
    </font>
    <font>
      <sz val="10"/>
      <name val="Arial"/>
      <family val="2"/>
    </font>
    <font>
      <b/>
      <sz val="10"/>
      <color theme="1"/>
      <name val="Times New Roman"/>
      <family val="1"/>
    </font>
    <font>
      <sz val="10"/>
      <color theme="1"/>
      <name val="Times New Roman"/>
      <family val="1"/>
    </font>
    <font>
      <b/>
      <sz val="10"/>
      <color theme="1"/>
      <name val="Arial"/>
      <family val="2"/>
      <scheme val="minor"/>
    </font>
    <font>
      <sz val="12"/>
      <color rgb="FFFFFFFF"/>
      <name val="Arial"/>
      <family val="2"/>
      <scheme val="minor"/>
    </font>
    <font>
      <b/>
      <sz val="10"/>
      <color rgb="FF404040"/>
      <name val="Arial"/>
      <family val="2"/>
      <scheme val="minor"/>
    </font>
    <font>
      <sz val="10"/>
      <color rgb="FF404040"/>
      <name val="Arial"/>
      <family val="2"/>
      <scheme val="minor"/>
    </font>
    <font>
      <sz val="11"/>
      <color rgb="FFFFFFFF"/>
      <name val="Arial"/>
      <family val="2"/>
      <scheme val="minor"/>
    </font>
    <font>
      <b/>
      <sz val="11"/>
      <color theme="1"/>
      <name val="Arial"/>
      <family val="2"/>
      <scheme val="minor"/>
    </font>
    <font>
      <sz val="12"/>
      <color theme="0"/>
      <name val="Arial"/>
      <family val="2"/>
      <scheme val="minor"/>
    </font>
    <font>
      <sz val="13"/>
      <color theme="0"/>
      <name val="Arial"/>
      <family val="2"/>
      <scheme val="minor"/>
    </font>
    <font>
      <i/>
      <sz val="10"/>
      <color rgb="FF000000"/>
      <name val="Montserrat"/>
    </font>
    <font>
      <sz val="10"/>
      <name val="Montserrat"/>
    </font>
    <font>
      <u/>
      <sz val="10"/>
      <color theme="1"/>
      <name val="Montserrat"/>
    </font>
    <font>
      <i/>
      <sz val="10"/>
      <color theme="1"/>
      <name val="Montserrat"/>
    </font>
    <font>
      <b/>
      <sz val="11"/>
      <color theme="1"/>
      <name val="Arial"/>
      <family val="2"/>
    </font>
    <font>
      <sz val="11"/>
      <color theme="1"/>
      <name val="Arial"/>
      <family val="2"/>
    </font>
    <font>
      <sz val="10"/>
      <color rgb="FF000000"/>
      <name val="Arial"/>
      <family val="2"/>
      <scheme val="minor"/>
    </font>
    <font>
      <b/>
      <sz val="11"/>
      <color theme="0"/>
      <name val="Arial"/>
      <family val="2"/>
      <scheme val="minor"/>
    </font>
    <font>
      <sz val="11"/>
      <color theme="0"/>
      <name val="Arial"/>
      <family val="2"/>
      <scheme val="minor"/>
    </font>
    <font>
      <sz val="10"/>
      <color theme="1"/>
      <name val="Arial"/>
      <family val="2"/>
      <scheme val="minor"/>
    </font>
    <font>
      <sz val="10"/>
      <color rgb="FFFF0000"/>
      <name val="Montserrat"/>
    </font>
    <font>
      <u/>
      <sz val="10"/>
      <color rgb="FFFF0000"/>
      <name val="Montserrat"/>
    </font>
    <font>
      <sz val="10"/>
      <color rgb="FFC00000"/>
      <name val="Montserrat"/>
    </font>
    <font>
      <sz val="10"/>
      <color theme="2" tint="-0.249977111117893"/>
      <name val="Arial"/>
      <family val="2"/>
      <scheme val="minor"/>
    </font>
    <font>
      <sz val="10"/>
      <color theme="0"/>
      <name val="Arial"/>
      <family val="2"/>
      <scheme val="minor"/>
    </font>
    <font>
      <i/>
      <sz val="10"/>
      <color rgb="FF000000"/>
      <name val="Arial"/>
      <family val="2"/>
      <scheme val="minor"/>
    </font>
    <font>
      <sz val="8"/>
      <name val="Arial"/>
      <family val="2"/>
      <scheme val="minor"/>
    </font>
    <font>
      <sz val="10"/>
      <color rgb="FFFFFFFF"/>
      <name val="Arial"/>
      <family val="2"/>
      <scheme val="minor"/>
    </font>
    <font>
      <b/>
      <sz val="8"/>
      <color rgb="FFFFFFFF"/>
      <name val="Montserrat"/>
    </font>
    <font>
      <sz val="7"/>
      <color rgb="FF4D4D4C"/>
      <name val="Courier New"/>
      <family val="3"/>
    </font>
    <font>
      <u/>
      <sz val="10"/>
      <color theme="10"/>
      <name val="Arial"/>
      <family val="2"/>
      <scheme val="minor"/>
    </font>
    <font>
      <sz val="8"/>
      <color theme="0" tint="-0.34998626667073579"/>
      <name val="Arial"/>
      <family val="2"/>
      <scheme val="minor"/>
    </font>
    <font>
      <sz val="8"/>
      <color rgb="FFC00000"/>
      <name val="Arial"/>
      <family val="2"/>
      <scheme val="minor"/>
    </font>
    <font>
      <i/>
      <sz val="11"/>
      <name val="Arial"/>
      <family val="2"/>
      <scheme val="minor"/>
    </font>
    <font>
      <sz val="10"/>
      <color rgb="FFC00000"/>
      <name val="Arial"/>
      <family val="2"/>
      <scheme val="minor"/>
    </font>
    <font>
      <b/>
      <sz val="11"/>
      <color theme="3"/>
      <name val="Arial"/>
      <family val="2"/>
      <scheme val="minor"/>
    </font>
    <font>
      <b/>
      <sz val="16"/>
      <color theme="0"/>
      <name val="Arial"/>
      <family val="2"/>
      <scheme val="minor"/>
    </font>
    <font>
      <b/>
      <sz val="12"/>
      <color rgb="FF4B3B4B"/>
      <name val="Arial"/>
      <family val="2"/>
      <scheme val="minor"/>
    </font>
    <font>
      <b/>
      <sz val="11"/>
      <name val="Arial"/>
      <family val="2"/>
      <scheme val="minor"/>
    </font>
    <font>
      <b/>
      <sz val="10"/>
      <name val="Arial"/>
      <family val="2"/>
      <scheme val="minor"/>
    </font>
    <font>
      <sz val="11"/>
      <name val="Arial"/>
      <family val="2"/>
      <scheme val="minor"/>
    </font>
    <font>
      <b/>
      <sz val="12"/>
      <color theme="1"/>
      <name val="Arial"/>
      <family val="2"/>
      <scheme val="minor"/>
    </font>
    <font>
      <i/>
      <sz val="8"/>
      <color theme="0" tint="-0.34998626667073579"/>
      <name val="Arial"/>
      <family val="2"/>
      <scheme val="minor"/>
    </font>
    <font>
      <sz val="9"/>
      <color rgb="FF000000"/>
      <name val="Arial"/>
      <family val="2"/>
      <scheme val="minor"/>
    </font>
    <font>
      <b/>
      <sz val="10"/>
      <color rgb="FF000000"/>
      <name val="Arial"/>
      <family val="2"/>
      <scheme val="minor"/>
    </font>
    <font>
      <b/>
      <sz val="12"/>
      <color rgb="FF000000"/>
      <name val="Montserrat"/>
    </font>
  </fonts>
  <fills count="28">
    <fill>
      <patternFill patternType="none"/>
    </fill>
    <fill>
      <patternFill patternType="gray125"/>
    </fill>
    <fill>
      <patternFill patternType="solid">
        <fgColor rgb="FF41363E"/>
        <bgColor rgb="FF41363E"/>
      </patternFill>
    </fill>
    <fill>
      <patternFill patternType="solid">
        <fgColor rgb="FF94A03B"/>
        <bgColor rgb="FF94A03B"/>
      </patternFill>
    </fill>
    <fill>
      <patternFill patternType="solid">
        <fgColor rgb="FFDEE0D0"/>
        <bgColor rgb="FFDEE0D0"/>
      </patternFill>
    </fill>
    <fill>
      <patternFill patternType="solid">
        <fgColor rgb="FFBFC786"/>
        <bgColor rgb="FFBFC786"/>
      </patternFill>
    </fill>
    <fill>
      <patternFill patternType="solid">
        <fgColor rgb="FF156082"/>
        <bgColor rgb="FF156082"/>
      </patternFill>
    </fill>
    <fill>
      <patternFill patternType="solid">
        <fgColor rgb="FFE97132"/>
        <bgColor rgb="FFE97132"/>
      </patternFill>
    </fill>
    <fill>
      <patternFill patternType="solid">
        <fgColor theme="6"/>
        <bgColor theme="6"/>
      </patternFill>
    </fill>
    <fill>
      <patternFill patternType="solid">
        <fgColor theme="7"/>
        <bgColor theme="7"/>
      </patternFill>
    </fill>
    <fill>
      <patternFill patternType="solid">
        <fgColor theme="5"/>
        <bgColor theme="5"/>
      </patternFill>
    </fill>
    <fill>
      <patternFill patternType="solid">
        <fgColor theme="6" tint="0.79998168889431442"/>
        <bgColor indexed="64"/>
      </patternFill>
    </fill>
    <fill>
      <patternFill patternType="solid">
        <fgColor theme="6" tint="0.79998168889431442"/>
        <bgColor rgb="FFBFC786"/>
      </patternFill>
    </fill>
    <fill>
      <patternFill patternType="solid">
        <fgColor theme="6" tint="0.79998168889431442"/>
        <bgColor rgb="FFDEE0D0"/>
      </patternFill>
    </fill>
    <fill>
      <patternFill patternType="solid">
        <fgColor rgb="FF949937"/>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FF00"/>
        <bgColor indexed="64"/>
      </patternFill>
    </fill>
    <fill>
      <patternFill patternType="solid">
        <fgColor rgb="FFC00000"/>
        <bgColor indexed="64"/>
      </patternFill>
    </fill>
    <fill>
      <patternFill patternType="solid">
        <fgColor rgb="FFC6CCA1"/>
        <bgColor indexed="64"/>
      </patternFill>
    </fill>
    <fill>
      <patternFill patternType="solid">
        <fgColor theme="0"/>
        <bgColor indexed="64"/>
      </patternFill>
    </fill>
    <fill>
      <patternFill patternType="solid">
        <fgColor rgb="FF9CA71C"/>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2" tint="-0.14999847407452621"/>
        <bgColor indexed="64"/>
      </patternFill>
    </fill>
    <fill>
      <patternFill patternType="solid">
        <fgColor theme="1" tint="0.499984740745262"/>
        <bgColor rgb="FF94A03B"/>
      </patternFill>
    </fill>
    <fill>
      <patternFill patternType="solid">
        <fgColor theme="1" tint="0.499984740745262"/>
        <bgColor rgb="FFDEE0D0"/>
      </patternFill>
    </fill>
    <fill>
      <patternFill patternType="solid">
        <fgColor rgb="FF9CA71C"/>
        <bgColor rgb="FFDEE0D0"/>
      </patternFill>
    </fill>
  </fills>
  <borders count="101">
    <border>
      <left/>
      <right/>
      <top/>
      <bottom/>
      <diagonal/>
    </border>
    <border>
      <left style="thin">
        <color rgb="FF000000"/>
      </left>
      <right/>
      <top/>
      <bottom/>
      <diagonal/>
    </border>
    <border>
      <left style="thin">
        <color rgb="FFCCCCCC"/>
      </left>
      <right style="thin">
        <color rgb="FFCCCCCC"/>
      </right>
      <top style="thin">
        <color rgb="FFCCCCCC"/>
      </top>
      <bottom style="thin">
        <color rgb="FFCCCCCC"/>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ABABAB"/>
      </left>
      <right/>
      <top style="thin">
        <color rgb="FFABABAB"/>
      </top>
      <bottom/>
      <diagonal/>
    </border>
    <border>
      <left style="thin">
        <color indexed="65"/>
      </left>
      <right style="thin">
        <color rgb="FFABABAB"/>
      </right>
      <top style="thin">
        <color rgb="FFABABAB"/>
      </top>
      <bottom/>
      <diagonal/>
    </border>
    <border>
      <left/>
      <right style="thin">
        <color rgb="FFABABAB"/>
      </right>
      <top style="thin">
        <color rgb="FFABABAB"/>
      </top>
      <bottom/>
      <diagonal/>
    </border>
    <border>
      <left style="thin">
        <color rgb="FFABABAB"/>
      </left>
      <right/>
      <top/>
      <bottom style="thin">
        <color rgb="FFABABAB"/>
      </bottom>
      <diagonal/>
    </border>
    <border>
      <left/>
      <right style="thin">
        <color rgb="FFABABAB"/>
      </right>
      <top/>
      <bottom style="thin">
        <color rgb="FFABABAB"/>
      </bottom>
      <diagonal/>
    </border>
    <border>
      <left style="thin">
        <color rgb="FFABABAB"/>
      </left>
      <right style="thin">
        <color rgb="FFABABAB"/>
      </right>
      <top style="thin">
        <color rgb="FFABABAB"/>
      </top>
      <bottom style="thin">
        <color rgb="FFABABAB"/>
      </bottom>
      <diagonal/>
    </border>
    <border>
      <left style="thin">
        <color rgb="FFABABAB"/>
      </left>
      <right style="thin">
        <color rgb="FFABABAB"/>
      </right>
      <top style="thin">
        <color rgb="FFABABAB"/>
      </top>
      <bottom/>
      <diagonal/>
    </border>
    <border>
      <left style="thin">
        <color rgb="FFABABAB"/>
      </left>
      <right/>
      <top/>
      <bottom/>
      <diagonal/>
    </border>
    <border>
      <left style="thin">
        <color rgb="FFABABAB"/>
      </left>
      <right style="thin">
        <color rgb="FFABABAB"/>
      </right>
      <top/>
      <bottom/>
      <diagonal/>
    </border>
    <border>
      <left style="thin">
        <color rgb="FFABABAB"/>
      </left>
      <right/>
      <top style="thin">
        <color rgb="FFABABAB"/>
      </top>
      <bottom style="thin">
        <color rgb="FFABABAB"/>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bottom/>
      <diagonal/>
    </border>
    <border>
      <left style="thin">
        <color theme="0" tint="-0.499984740745262"/>
      </left>
      <right style="thin">
        <color indexed="64"/>
      </right>
      <top/>
      <bottom/>
      <diagonal/>
    </border>
    <border>
      <left style="thin">
        <color indexed="64"/>
      </left>
      <right style="thin">
        <color theme="0" tint="-0.499984740745262"/>
      </right>
      <top/>
      <bottom style="thin">
        <color theme="0" tint="-0.499984740745262"/>
      </bottom>
      <diagonal/>
    </border>
    <border>
      <left style="thin">
        <color theme="0" tint="-0.499984740745262"/>
      </left>
      <right style="thin">
        <color indexed="64"/>
      </right>
      <top/>
      <bottom style="thin">
        <color theme="0" tint="-0.499984740745262"/>
      </bottom>
      <diagonal/>
    </border>
    <border>
      <left style="thin">
        <color indexed="64"/>
      </left>
      <right style="thin">
        <color theme="0" tint="-0.499984740745262"/>
      </right>
      <top/>
      <bottom style="thin">
        <color indexed="64"/>
      </bottom>
      <diagonal/>
    </border>
    <border>
      <left style="thin">
        <color theme="0" tint="-0.499984740745262"/>
      </left>
      <right style="thin">
        <color indexed="64"/>
      </right>
      <top/>
      <bottom style="thin">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14996795556505021"/>
      </right>
      <top/>
      <bottom style="thin">
        <color theme="0" tint="-0.14996795556505021"/>
      </bottom>
      <diagonal/>
    </border>
    <border>
      <left style="thin">
        <color theme="0" tint="-0.14996795556505021"/>
      </left>
      <right style="thin">
        <color indexed="64"/>
      </right>
      <top/>
      <bottom style="thin">
        <color theme="0" tint="-0.14996795556505021"/>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theme="0" tint="-0.1499679555650502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top style="thin">
        <color theme="0" tint="-0.14996795556505021"/>
      </top>
      <bottom style="thin">
        <color theme="0" tint="-0.14996795556505021"/>
      </bottom>
      <diagonal/>
    </border>
    <border>
      <left style="thin">
        <color theme="0" tint="-0.24994659260841701"/>
      </left>
      <right style="thin">
        <color indexed="64"/>
      </right>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top style="thin">
        <color theme="0" tint="-0.1499679555650502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right/>
      <top style="thin">
        <color indexed="64"/>
      </top>
      <bottom style="thin">
        <color theme="0" tint="-0.14996795556505021"/>
      </bottom>
      <diagonal/>
    </border>
    <border>
      <left/>
      <right style="thin">
        <color indexed="64"/>
      </right>
      <top style="thin">
        <color indexed="64"/>
      </top>
      <bottom style="thin">
        <color theme="0" tint="-0.14996795556505021"/>
      </bottom>
      <diagonal/>
    </border>
    <border>
      <left/>
      <right/>
      <top style="thin">
        <color indexed="64"/>
      </top>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right style="thin">
        <color theme="0" tint="-0.24994659260841701"/>
      </right>
      <top style="thin">
        <color theme="0" tint="-0.24994659260841701"/>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499984740745262"/>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bottom/>
      <diagonal/>
    </border>
    <border>
      <left/>
      <right/>
      <top/>
      <bottom style="thin">
        <color auto="1"/>
      </bottom>
      <diagonal/>
    </border>
    <border>
      <left style="thin">
        <color indexed="64"/>
      </left>
      <right style="thin">
        <color theme="0" tint="-0.499984740745262"/>
      </right>
      <top style="thin">
        <color theme="0" tint="-0.499984740745262"/>
      </top>
      <bottom style="thin">
        <color theme="0" tint="-0.499984740745262"/>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right style="thin">
        <color theme="2"/>
      </right>
      <top/>
      <bottom style="thin">
        <color theme="2"/>
      </bottom>
      <diagonal/>
    </border>
    <border>
      <left style="thin">
        <color theme="2"/>
      </left>
      <right/>
      <top/>
      <bottom style="thin">
        <color theme="2"/>
      </bottom>
      <diagonal/>
    </border>
    <border>
      <left/>
      <right style="thin">
        <color theme="2"/>
      </right>
      <top style="thin">
        <color theme="2"/>
      </top>
      <bottom style="thin">
        <color theme="2"/>
      </bottom>
      <diagonal/>
    </border>
    <border>
      <left style="thin">
        <color theme="2"/>
      </left>
      <right/>
      <top style="thin">
        <color theme="2"/>
      </top>
      <bottom style="thin">
        <color theme="2"/>
      </bottom>
      <diagonal/>
    </border>
    <border>
      <left/>
      <right style="thin">
        <color theme="2"/>
      </right>
      <top style="thin">
        <color theme="2"/>
      </top>
      <bottom/>
      <diagonal/>
    </border>
    <border>
      <left style="thin">
        <color theme="2"/>
      </left>
      <right/>
      <top style="thin">
        <color theme="2"/>
      </top>
      <bottom/>
      <diagonal/>
    </border>
    <border>
      <left style="thin">
        <color theme="0" tint="-0.14996795556505021"/>
      </left>
      <right/>
      <top/>
      <bottom/>
      <diagonal/>
    </border>
  </borders>
  <cellStyleXfs count="5">
    <xf numFmtId="0" fontId="0" fillId="0" borderId="0"/>
    <xf numFmtId="164" fontId="31" fillId="0" borderId="0" applyFont="0" applyFill="0" applyBorder="0" applyAlignment="0" applyProtection="0"/>
    <xf numFmtId="9" fontId="31" fillId="0" borderId="0" applyFont="0" applyFill="0" applyBorder="0" applyAlignment="0" applyProtection="0"/>
    <xf numFmtId="0" fontId="45" fillId="0" borderId="0" applyNumberFormat="0" applyFill="0" applyBorder="0" applyAlignment="0" applyProtection="0"/>
    <xf numFmtId="0" fontId="1" fillId="0" borderId="0"/>
  </cellStyleXfs>
  <cellXfs count="453">
    <xf numFmtId="0" fontId="0" fillId="0" borderId="0" xfId="0"/>
    <xf numFmtId="0" fontId="2" fillId="2" borderId="0" xfId="0" applyFont="1" applyFill="1" applyAlignment="1">
      <alignment horizontal="center" vertical="center" wrapText="1"/>
    </xf>
    <xf numFmtId="0" fontId="4" fillId="0" borderId="0" xfId="0" applyFont="1" applyAlignment="1">
      <alignment wrapText="1"/>
    </xf>
    <xf numFmtId="0" fontId="4" fillId="0" borderId="0" xfId="0" applyFont="1"/>
    <xf numFmtId="0" fontId="2" fillId="2" borderId="0" xfId="0" applyFont="1" applyFill="1"/>
    <xf numFmtId="0" fontId="4" fillId="5" borderId="0" xfId="0" applyFont="1" applyFill="1" applyAlignment="1">
      <alignment vertical="center" wrapText="1"/>
    </xf>
    <xf numFmtId="0" fontId="7" fillId="5" borderId="0" xfId="0" applyFont="1" applyFill="1" applyAlignment="1">
      <alignment vertical="center" wrapText="1"/>
    </xf>
    <xf numFmtId="0" fontId="8" fillId="5" borderId="0" xfId="0" applyFont="1" applyFill="1" applyAlignment="1">
      <alignment vertical="center" wrapText="1"/>
    </xf>
    <xf numFmtId="0" fontId="9" fillId="5" borderId="0" xfId="0" applyFont="1" applyFill="1" applyAlignment="1">
      <alignment vertical="center" wrapText="1"/>
    </xf>
    <xf numFmtId="0" fontId="10" fillId="0" borderId="0" xfId="0" applyFont="1" applyAlignment="1">
      <alignment vertical="top" wrapText="1"/>
    </xf>
    <xf numFmtId="0" fontId="4" fillId="4" borderId="0" xfId="0" applyFont="1" applyFill="1" applyAlignment="1">
      <alignment vertical="center" wrapText="1"/>
    </xf>
    <xf numFmtId="0" fontId="4" fillId="3" borderId="0" xfId="0" applyFont="1" applyFill="1" applyAlignment="1">
      <alignment vertical="top" wrapText="1"/>
    </xf>
    <xf numFmtId="0" fontId="3" fillId="5" borderId="0" xfId="0" applyFont="1" applyFill="1" applyAlignment="1">
      <alignment vertical="center" wrapText="1"/>
    </xf>
    <xf numFmtId="0" fontId="11" fillId="5" borderId="0" xfId="0" applyFont="1" applyFill="1" applyAlignment="1">
      <alignment horizontal="left" vertical="center" wrapText="1"/>
    </xf>
    <xf numFmtId="0" fontId="11" fillId="4" borderId="0" xfId="0" applyFont="1" applyFill="1" applyAlignment="1">
      <alignment horizontal="left" vertical="center" wrapText="1"/>
    </xf>
    <xf numFmtId="0" fontId="12" fillId="0" borderId="0" xfId="0" applyFont="1"/>
    <xf numFmtId="9" fontId="12" fillId="4" borderId="0" xfId="0" applyNumberFormat="1" applyFont="1" applyFill="1"/>
    <xf numFmtId="0" fontId="12" fillId="4" borderId="0" xfId="0" applyFont="1" applyFill="1"/>
    <xf numFmtId="0" fontId="12" fillId="0" borderId="0" xfId="0" applyFont="1" applyAlignment="1">
      <alignment horizontal="center"/>
    </xf>
    <xf numFmtId="9" fontId="12" fillId="0" borderId="0" xfId="0" applyNumberFormat="1" applyFont="1"/>
    <xf numFmtId="0" fontId="10" fillId="0" borderId="0" xfId="0" applyFont="1"/>
    <xf numFmtId="0" fontId="10" fillId="0" borderId="0" xfId="0" applyFont="1" applyAlignment="1">
      <alignment wrapText="1"/>
    </xf>
    <xf numFmtId="0" fontId="15" fillId="0" borderId="0" xfId="0" applyFont="1"/>
    <xf numFmtId="0" fontId="16" fillId="0" borderId="0" xfId="0" applyFont="1" applyAlignment="1">
      <alignment wrapText="1"/>
    </xf>
    <xf numFmtId="0" fontId="16" fillId="0" borderId="0" xfId="0" applyFont="1"/>
    <xf numFmtId="0" fontId="17" fillId="0" borderId="0" xfId="0" applyFont="1"/>
    <xf numFmtId="0" fontId="4" fillId="4" borderId="2" xfId="0" applyFont="1" applyFill="1" applyBorder="1" applyAlignment="1">
      <alignment vertical="top" wrapText="1"/>
    </xf>
    <xf numFmtId="9" fontId="4" fillId="4" borderId="2" xfId="0" applyNumberFormat="1" applyFont="1" applyFill="1" applyBorder="1" applyAlignment="1">
      <alignment vertical="top" wrapText="1"/>
    </xf>
    <xf numFmtId="0" fontId="19" fillId="0" borderId="0" xfId="0" applyFont="1" applyAlignment="1">
      <alignment horizontal="center"/>
    </xf>
    <xf numFmtId="0" fontId="20" fillId="0" borderId="0" xfId="0" applyFont="1"/>
    <xf numFmtId="9" fontId="20" fillId="0" borderId="0" xfId="0" applyNumberFormat="1" applyFont="1" applyAlignment="1">
      <alignment horizontal="right"/>
    </xf>
    <xf numFmtId="9" fontId="20" fillId="0" borderId="0" xfId="0" applyNumberFormat="1" applyFont="1"/>
    <xf numFmtId="0" fontId="20" fillId="0" borderId="0" xfId="0" applyFont="1" applyAlignment="1">
      <alignment horizontal="right"/>
    </xf>
    <xf numFmtId="0" fontId="22" fillId="0" borderId="0" xfId="0" applyFont="1" applyAlignment="1">
      <alignment horizontal="center"/>
    </xf>
    <xf numFmtId="165" fontId="10" fillId="0" borderId="0" xfId="0" applyNumberFormat="1" applyFont="1"/>
    <xf numFmtId="9" fontId="10" fillId="0" borderId="0" xfId="0" applyNumberFormat="1" applyFont="1"/>
    <xf numFmtId="0" fontId="17" fillId="0" borderId="0" xfId="0" applyFont="1" applyAlignment="1">
      <alignment horizontal="center"/>
    </xf>
    <xf numFmtId="0" fontId="0" fillId="0" borderId="9" xfId="0" applyBorder="1"/>
    <xf numFmtId="0" fontId="0" fillId="0" borderId="9" xfId="0" pivotButton="1" applyBorder="1"/>
    <xf numFmtId="0" fontId="0" fillId="0" borderId="10" xfId="0" applyBorder="1"/>
    <xf numFmtId="0" fontId="0" fillId="0" borderId="11" xfId="0" applyBorder="1"/>
    <xf numFmtId="0" fontId="0" fillId="0" borderId="12" xfId="0" applyBorder="1"/>
    <xf numFmtId="0" fontId="0" fillId="0" borderId="14" xfId="0" pivotButton="1" applyBorder="1"/>
    <xf numFmtId="0" fontId="0" fillId="0" borderId="14" xfId="0" applyBorder="1"/>
    <xf numFmtId="0" fontId="0" fillId="0" borderId="15" xfId="0" applyBorder="1"/>
    <xf numFmtId="0" fontId="0" fillId="0" borderId="16" xfId="0" applyBorder="1"/>
    <xf numFmtId="0" fontId="0" fillId="0" borderId="18" xfId="0" applyBorder="1"/>
    <xf numFmtId="0" fontId="4" fillId="11" borderId="23" xfId="0" applyFont="1" applyFill="1" applyBorder="1" applyAlignment="1">
      <alignment wrapText="1"/>
    </xf>
    <xf numFmtId="0" fontId="2" fillId="2" borderId="29" xfId="0" applyFont="1" applyFill="1" applyBorder="1" applyAlignment="1">
      <alignment horizontal="center" vertical="center" wrapText="1"/>
    </xf>
    <xf numFmtId="0" fontId="4" fillId="5" borderId="32" xfId="0" applyFont="1" applyFill="1" applyBorder="1" applyAlignment="1">
      <alignment vertical="center" wrapText="1"/>
    </xf>
    <xf numFmtId="0" fontId="7" fillId="5" borderId="32" xfId="0" applyFont="1" applyFill="1" applyBorder="1" applyAlignment="1">
      <alignment vertical="center" wrapText="1"/>
    </xf>
    <xf numFmtId="0" fontId="4" fillId="12" borderId="32" xfId="0" applyFont="1" applyFill="1" applyBorder="1" applyAlignment="1">
      <alignment vertical="center" wrapText="1"/>
    </xf>
    <xf numFmtId="0" fontId="8" fillId="5" borderId="32" xfId="0" applyFont="1" applyFill="1" applyBorder="1" applyAlignment="1">
      <alignment vertical="center" wrapText="1"/>
    </xf>
    <xf numFmtId="0" fontId="9" fillId="5" borderId="33" xfId="0" applyFont="1" applyFill="1" applyBorder="1" applyAlignment="1">
      <alignment vertical="center" wrapText="1"/>
    </xf>
    <xf numFmtId="0" fontId="4" fillId="5" borderId="31" xfId="0" applyFont="1" applyFill="1" applyBorder="1" applyAlignment="1">
      <alignment vertical="center" wrapText="1"/>
    </xf>
    <xf numFmtId="0" fontId="8" fillId="5" borderId="33" xfId="0" applyFont="1" applyFill="1" applyBorder="1" applyAlignment="1">
      <alignment vertical="center" wrapText="1"/>
    </xf>
    <xf numFmtId="0" fontId="4" fillId="4" borderId="31" xfId="0" applyFont="1" applyFill="1" applyBorder="1" applyAlignment="1">
      <alignment vertical="center" wrapText="1"/>
    </xf>
    <xf numFmtId="0" fontId="4" fillId="4" borderId="32" xfId="0" applyFont="1" applyFill="1" applyBorder="1" applyAlignment="1">
      <alignment vertical="center" wrapText="1"/>
    </xf>
    <xf numFmtId="0" fontId="4" fillId="4" borderId="34" xfId="0" applyFont="1" applyFill="1" applyBorder="1" applyAlignment="1">
      <alignment vertical="center" wrapText="1"/>
    </xf>
    <xf numFmtId="0" fontId="4" fillId="4" borderId="35" xfId="0" applyFont="1" applyFill="1" applyBorder="1" applyAlignment="1">
      <alignment vertical="center" wrapText="1"/>
    </xf>
    <xf numFmtId="0" fontId="35" fillId="4" borderId="0" xfId="0" applyFont="1" applyFill="1" applyAlignment="1">
      <alignment vertical="center" wrapText="1"/>
    </xf>
    <xf numFmtId="0" fontId="36" fillId="4" borderId="0" xfId="0" applyFont="1" applyFill="1" applyAlignment="1">
      <alignment vertical="center" wrapText="1"/>
    </xf>
    <xf numFmtId="0" fontId="35" fillId="12" borderId="32" xfId="0" applyFont="1" applyFill="1" applyBorder="1" applyAlignment="1">
      <alignment vertical="center" wrapText="1"/>
    </xf>
    <xf numFmtId="0" fontId="26" fillId="4" borderId="0" xfId="0" applyFont="1" applyFill="1" applyAlignment="1">
      <alignment vertical="center" wrapText="1"/>
    </xf>
    <xf numFmtId="0" fontId="4" fillId="4" borderId="32" xfId="0" applyFont="1" applyFill="1" applyBorder="1" applyAlignment="1">
      <alignment horizontal="center" vertical="center" wrapText="1"/>
    </xf>
    <xf numFmtId="0" fontId="6" fillId="4" borderId="32" xfId="0" applyFont="1" applyFill="1" applyBorder="1" applyAlignment="1">
      <alignment vertical="center" wrapText="1"/>
    </xf>
    <xf numFmtId="0" fontId="6" fillId="4" borderId="33" xfId="0" applyFont="1" applyFill="1" applyBorder="1" applyAlignment="1">
      <alignment vertical="center" wrapText="1"/>
    </xf>
    <xf numFmtId="0" fontId="3" fillId="5" borderId="31" xfId="0" applyFont="1" applyFill="1" applyBorder="1" applyAlignment="1">
      <alignment vertical="center" wrapText="1"/>
    </xf>
    <xf numFmtId="0" fontId="3" fillId="5" borderId="32" xfId="0" applyFont="1" applyFill="1" applyBorder="1" applyAlignment="1">
      <alignment vertical="center" wrapText="1"/>
    </xf>
    <xf numFmtId="0" fontId="11" fillId="5" borderId="32" xfId="0" applyFont="1" applyFill="1" applyBorder="1" applyAlignment="1">
      <alignment horizontal="left" vertical="center" wrapText="1"/>
    </xf>
    <xf numFmtId="0" fontId="11" fillId="4" borderId="32" xfId="0" applyFont="1" applyFill="1" applyBorder="1" applyAlignment="1">
      <alignment horizontal="left" vertical="center" wrapText="1"/>
    </xf>
    <xf numFmtId="0" fontId="11" fillId="4" borderId="35" xfId="0" applyFont="1" applyFill="1" applyBorder="1" applyAlignment="1">
      <alignment horizontal="left" vertical="center" wrapText="1"/>
    </xf>
    <xf numFmtId="0" fontId="3" fillId="3" borderId="0" xfId="0" applyFont="1" applyFill="1" applyAlignment="1">
      <alignment vertical="center" wrapText="1"/>
    </xf>
    <xf numFmtId="0" fontId="37" fillId="5" borderId="0" xfId="0" applyFont="1" applyFill="1" applyAlignment="1">
      <alignment horizontal="left" vertical="center" wrapText="1"/>
    </xf>
    <xf numFmtId="0" fontId="4" fillId="4" borderId="31" xfId="0" applyFont="1" applyFill="1" applyBorder="1" applyAlignment="1">
      <alignment horizontal="center" vertical="center" wrapText="1"/>
    </xf>
    <xf numFmtId="0" fontId="0" fillId="0" borderId="0" xfId="0" applyAlignment="1">
      <alignment vertical="center"/>
    </xf>
    <xf numFmtId="0" fontId="34" fillId="0" borderId="0" xfId="0" applyFont="1"/>
    <xf numFmtId="0" fontId="0" fillId="0" borderId="0" xfId="0" applyAlignment="1">
      <alignment horizontal="left" indent="1"/>
    </xf>
    <xf numFmtId="0" fontId="33" fillId="14" borderId="32" xfId="0" applyFont="1" applyFill="1" applyBorder="1"/>
    <xf numFmtId="0" fontId="32" fillId="14" borderId="32" xfId="0" applyFont="1" applyFill="1" applyBorder="1"/>
    <xf numFmtId="168" fontId="39" fillId="14" borderId="32" xfId="1" applyNumberFormat="1" applyFont="1" applyFill="1" applyBorder="1"/>
    <xf numFmtId="0" fontId="0" fillId="11" borderId="32" xfId="0" applyFill="1" applyBorder="1"/>
    <xf numFmtId="0" fontId="0" fillId="16" borderId="32" xfId="0" applyFill="1" applyBorder="1"/>
    <xf numFmtId="0" fontId="0" fillId="0" borderId="0" xfId="0" applyAlignment="1">
      <alignment wrapText="1"/>
    </xf>
    <xf numFmtId="0" fontId="33" fillId="14" borderId="37" xfId="0" applyFont="1" applyFill="1" applyBorder="1"/>
    <xf numFmtId="0" fontId="0" fillId="0" borderId="0" xfId="0" applyAlignment="1">
      <alignment horizontal="center" vertical="center"/>
    </xf>
    <xf numFmtId="0" fontId="32" fillId="14" borderId="37" xfId="0" applyFont="1" applyFill="1" applyBorder="1" applyAlignment="1">
      <alignment horizontal="center" vertical="center"/>
    </xf>
    <xf numFmtId="168" fontId="39" fillId="14" borderId="37" xfId="1" applyNumberFormat="1" applyFont="1" applyFill="1" applyBorder="1" applyAlignment="1">
      <alignment horizontal="center" vertical="center"/>
    </xf>
    <xf numFmtId="0" fontId="44" fillId="0" borderId="0" xfId="0" applyFont="1"/>
    <xf numFmtId="0" fontId="31" fillId="0" borderId="32" xfId="0" applyFont="1" applyBorder="1" applyAlignment="1">
      <alignment horizontal="left" wrapText="1" indent="1"/>
    </xf>
    <xf numFmtId="0" fontId="31" fillId="0" borderId="0" xfId="0" applyFont="1"/>
    <xf numFmtId="0" fontId="40" fillId="16" borderId="32" xfId="0" applyFont="1" applyFill="1" applyBorder="1" applyAlignment="1">
      <alignment horizontal="left"/>
    </xf>
    <xf numFmtId="0" fontId="40" fillId="16" borderId="32" xfId="0" applyFont="1" applyFill="1" applyBorder="1"/>
    <xf numFmtId="0" fontId="46" fillId="0" borderId="0" xfId="0" applyFont="1"/>
    <xf numFmtId="167" fontId="46" fillId="0" borderId="0" xfId="0" applyNumberFormat="1" applyFont="1"/>
    <xf numFmtId="0" fontId="46" fillId="0" borderId="0" xfId="0" applyFont="1" applyAlignment="1">
      <alignment horizontal="left"/>
    </xf>
    <xf numFmtId="9" fontId="46" fillId="0" borderId="0" xfId="2" applyFont="1" applyFill="1" applyBorder="1"/>
    <xf numFmtId="0" fontId="31" fillId="0" borderId="32" xfId="0" applyFont="1" applyBorder="1" applyAlignment="1">
      <alignment horizontal="left" indent="1"/>
    </xf>
    <xf numFmtId="0" fontId="47" fillId="0" borderId="0" xfId="0" applyFont="1"/>
    <xf numFmtId="0" fontId="0" fillId="17" borderId="0" xfId="0" applyFill="1"/>
    <xf numFmtId="0" fontId="0" fillId="11" borderId="23" xfId="0" applyFill="1" applyBorder="1"/>
    <xf numFmtId="0" fontId="31" fillId="11" borderId="23" xfId="0" applyFont="1" applyFill="1" applyBorder="1"/>
    <xf numFmtId="0" fontId="3" fillId="4" borderId="32" xfId="0" applyFont="1" applyFill="1" applyBorder="1" applyAlignment="1">
      <alignment vertical="center" wrapText="1"/>
    </xf>
    <xf numFmtId="0" fontId="45" fillId="0" borderId="0" xfId="3"/>
    <xf numFmtId="0" fontId="45" fillId="0" borderId="0" xfId="3" quotePrefix="1"/>
    <xf numFmtId="0" fontId="0" fillId="0" borderId="17" xfId="0" applyBorder="1"/>
    <xf numFmtId="0" fontId="0" fillId="0" borderId="13" xfId="0" applyBorder="1"/>
    <xf numFmtId="9" fontId="46" fillId="11" borderId="0" xfId="2" applyFont="1" applyFill="1" applyBorder="1"/>
    <xf numFmtId="0" fontId="0" fillId="11" borderId="20" xfId="0" applyFill="1" applyBorder="1"/>
    <xf numFmtId="168" fontId="0" fillId="11" borderId="20" xfId="1" applyNumberFormat="1" applyFont="1" applyFill="1" applyBorder="1"/>
    <xf numFmtId="168" fontId="0" fillId="11" borderId="23" xfId="1" applyNumberFormat="1" applyFont="1" applyFill="1" applyBorder="1"/>
    <xf numFmtId="0" fontId="54" fillId="19" borderId="42" xfId="0" quotePrefix="1" applyFont="1" applyFill="1" applyBorder="1" applyAlignment="1" applyProtection="1">
      <alignment horizontal="center" vertical="top"/>
      <protection locked="0"/>
    </xf>
    <xf numFmtId="0" fontId="55" fillId="19" borderId="43" xfId="0" quotePrefix="1" applyFont="1" applyFill="1" applyBorder="1" applyAlignment="1" applyProtection="1">
      <alignment horizontal="left" vertical="top" indent="1"/>
      <protection locked="0"/>
    </xf>
    <xf numFmtId="0" fontId="51" fillId="14" borderId="40" xfId="0" applyFont="1" applyFill="1" applyBorder="1" applyAlignment="1">
      <alignment vertical="center"/>
    </xf>
    <xf numFmtId="0" fontId="50" fillId="14" borderId="41" xfId="0" applyFont="1" applyFill="1" applyBorder="1" applyAlignment="1">
      <alignment vertical="center"/>
    </xf>
    <xf numFmtId="0" fontId="10" fillId="20" borderId="42" xfId="0" applyFont="1" applyFill="1" applyBorder="1"/>
    <xf numFmtId="0" fontId="22" fillId="20" borderId="43" xfId="0" applyFont="1" applyFill="1" applyBorder="1"/>
    <xf numFmtId="0" fontId="17" fillId="19" borderId="44" xfId="0" quotePrefix="1" applyFont="1" applyFill="1" applyBorder="1" applyAlignment="1" applyProtection="1">
      <alignment horizontal="center" vertical="top"/>
      <protection locked="0"/>
    </xf>
    <xf numFmtId="0" fontId="53" fillId="19" borderId="45" xfId="0" quotePrefix="1" applyFont="1" applyFill="1" applyBorder="1" applyAlignment="1" applyProtection="1">
      <alignment horizontal="left" vertical="top"/>
      <protection locked="0"/>
    </xf>
    <xf numFmtId="0" fontId="54" fillId="19" borderId="46" xfId="0" quotePrefix="1" applyFont="1" applyFill="1" applyBorder="1" applyAlignment="1" applyProtection="1">
      <alignment horizontal="center" vertical="top"/>
      <protection locked="0"/>
    </xf>
    <xf numFmtId="0" fontId="45" fillId="19" borderId="47" xfId="3" quotePrefix="1" applyFill="1" applyBorder="1" applyAlignment="1" applyProtection="1">
      <alignment horizontal="left" vertical="top" wrapText="1" indent="1"/>
      <protection locked="0"/>
    </xf>
    <xf numFmtId="0" fontId="55" fillId="19" borderId="47" xfId="0" quotePrefix="1" applyFont="1" applyFill="1" applyBorder="1" applyAlignment="1" applyProtection="1">
      <alignment horizontal="left" vertical="top" indent="1"/>
      <protection locked="0"/>
    </xf>
    <xf numFmtId="0" fontId="54" fillId="19" borderId="48" xfId="0" quotePrefix="1" applyFont="1" applyFill="1" applyBorder="1" applyAlignment="1" applyProtection="1">
      <alignment horizontal="center" vertical="top"/>
      <protection locked="0"/>
    </xf>
    <xf numFmtId="0" fontId="55" fillId="19" borderId="49" xfId="0" quotePrefix="1" applyFont="1" applyFill="1" applyBorder="1" applyAlignment="1" applyProtection="1">
      <alignment horizontal="left" vertical="top" indent="1"/>
      <protection locked="0"/>
    </xf>
    <xf numFmtId="0" fontId="54" fillId="24" borderId="44" xfId="0" quotePrefix="1" applyFont="1" applyFill="1" applyBorder="1" applyAlignment="1" applyProtection="1">
      <alignment horizontal="center" vertical="top"/>
      <protection locked="0"/>
    </xf>
    <xf numFmtId="0" fontId="53" fillId="24" borderId="45" xfId="0" quotePrefix="1" applyFont="1" applyFill="1" applyBorder="1" applyAlignment="1" applyProtection="1">
      <alignment horizontal="left" vertical="top"/>
      <protection locked="0"/>
    </xf>
    <xf numFmtId="0" fontId="54" fillId="24" borderId="46" xfId="0" quotePrefix="1" applyFont="1" applyFill="1" applyBorder="1" applyAlignment="1" applyProtection="1">
      <alignment horizontal="center" vertical="top"/>
      <protection locked="0"/>
    </xf>
    <xf numFmtId="0" fontId="45" fillId="24" borderId="47" xfId="3" quotePrefix="1" applyFill="1" applyBorder="1" applyAlignment="1" applyProtection="1">
      <alignment horizontal="left" vertical="top" indent="1"/>
      <protection locked="0"/>
    </xf>
    <xf numFmtId="0" fontId="55" fillId="24" borderId="47" xfId="0" quotePrefix="1" applyFont="1" applyFill="1" applyBorder="1" applyAlignment="1" applyProtection="1">
      <alignment horizontal="left" vertical="top" indent="1"/>
      <protection locked="0"/>
    </xf>
    <xf numFmtId="0" fontId="54" fillId="24" borderId="48" xfId="0" quotePrefix="1" applyFont="1" applyFill="1" applyBorder="1" applyAlignment="1" applyProtection="1">
      <alignment horizontal="center" vertical="top"/>
      <protection locked="0"/>
    </xf>
    <xf numFmtId="0" fontId="55" fillId="24" borderId="49" xfId="0" quotePrefix="1" applyFont="1" applyFill="1" applyBorder="1" applyAlignment="1" applyProtection="1">
      <alignment horizontal="left" vertical="top" indent="1"/>
      <protection locked="0"/>
    </xf>
    <xf numFmtId="0" fontId="54" fillId="19" borderId="42" xfId="0" applyFont="1" applyFill="1" applyBorder="1" applyAlignment="1" applyProtection="1">
      <alignment horizontal="center" vertical="top"/>
      <protection locked="0"/>
    </xf>
    <xf numFmtId="0" fontId="55" fillId="19" borderId="43" xfId="0" quotePrefix="1" applyFont="1" applyFill="1" applyBorder="1" applyAlignment="1" applyProtection="1">
      <alignment horizontal="left" vertical="top" wrapText="1" indent="1"/>
      <protection locked="0"/>
    </xf>
    <xf numFmtId="0" fontId="54" fillId="22" borderId="44" xfId="0" quotePrefix="1" applyFont="1" applyFill="1" applyBorder="1" applyAlignment="1" applyProtection="1">
      <alignment horizontal="center" vertical="top"/>
      <protection locked="0"/>
    </xf>
    <xf numFmtId="0" fontId="53" fillId="22" borderId="45" xfId="0" quotePrefix="1" applyFont="1" applyFill="1" applyBorder="1" applyAlignment="1" applyProtection="1">
      <alignment horizontal="left" vertical="top"/>
      <protection locked="0"/>
    </xf>
    <xf numFmtId="0" fontId="54" fillId="22" borderId="46" xfId="0" applyFont="1" applyFill="1" applyBorder="1" applyAlignment="1" applyProtection="1">
      <alignment horizontal="center" vertical="top"/>
      <protection locked="0"/>
    </xf>
    <xf numFmtId="0" fontId="55" fillId="22" borderId="47" xfId="0" quotePrefix="1" applyFont="1" applyFill="1" applyBorder="1" applyAlignment="1" applyProtection="1">
      <alignment horizontal="left" vertical="top" wrapText="1" indent="1"/>
      <protection locked="0"/>
    </xf>
    <xf numFmtId="0" fontId="54" fillId="22" borderId="48" xfId="0" applyFont="1" applyFill="1" applyBorder="1" applyAlignment="1" applyProtection="1">
      <alignment horizontal="center" vertical="top"/>
      <protection locked="0"/>
    </xf>
    <xf numFmtId="0" fontId="55" fillId="22" borderId="49" xfId="0" quotePrefix="1" applyFont="1" applyFill="1" applyBorder="1" applyAlignment="1" applyProtection="1">
      <alignment horizontal="left" vertical="top" wrapText="1" indent="1"/>
      <protection locked="0"/>
    </xf>
    <xf numFmtId="0" fontId="54" fillId="22" borderId="42" xfId="0" applyFont="1" applyFill="1" applyBorder="1" applyAlignment="1" applyProtection="1">
      <alignment horizontal="center" vertical="top"/>
      <protection locked="0"/>
    </xf>
    <xf numFmtId="0" fontId="55" fillId="22" borderId="43" xfId="0" quotePrefix="1" applyFont="1" applyFill="1" applyBorder="1" applyAlignment="1" applyProtection="1">
      <alignment horizontal="left" vertical="top" indent="1"/>
      <protection locked="0"/>
    </xf>
    <xf numFmtId="0" fontId="54" fillId="24" borderId="46" xfId="0" applyFont="1" applyFill="1" applyBorder="1" applyAlignment="1" applyProtection="1">
      <alignment horizontal="center" vertical="top"/>
      <protection locked="0"/>
    </xf>
    <xf numFmtId="0" fontId="55" fillId="24" borderId="47" xfId="0" quotePrefix="1" applyFont="1" applyFill="1" applyBorder="1" applyAlignment="1" applyProtection="1">
      <alignment horizontal="left" vertical="top" wrapText="1" indent="1"/>
      <protection locked="0"/>
    </xf>
    <xf numFmtId="0" fontId="54" fillId="24" borderId="48" xfId="0" applyFont="1" applyFill="1" applyBorder="1" applyAlignment="1" applyProtection="1">
      <alignment horizontal="center" vertical="top"/>
      <protection locked="0"/>
    </xf>
    <xf numFmtId="0" fontId="55" fillId="24" borderId="49" xfId="0" quotePrefix="1" applyFont="1" applyFill="1" applyBorder="1" applyAlignment="1" applyProtection="1">
      <alignment horizontal="left" vertical="top" wrapText="1" indent="1"/>
      <protection locked="0"/>
    </xf>
    <xf numFmtId="0" fontId="54" fillId="22" borderId="50" xfId="0" applyFont="1" applyFill="1" applyBorder="1" applyAlignment="1" applyProtection="1">
      <alignment horizontal="center" vertical="top"/>
      <protection locked="0"/>
    </xf>
    <xf numFmtId="0" fontId="55" fillId="22" borderId="51" xfId="0" quotePrefix="1" applyFont="1" applyFill="1" applyBorder="1" applyAlignment="1" applyProtection="1">
      <alignment horizontal="left" vertical="top" wrapText="1" indent="1"/>
      <protection locked="0"/>
    </xf>
    <xf numFmtId="17" fontId="0" fillId="11" borderId="21" xfId="0" applyNumberFormat="1" applyFill="1" applyBorder="1"/>
    <xf numFmtId="0" fontId="42" fillId="14" borderId="52" xfId="0" applyFont="1" applyFill="1" applyBorder="1" applyAlignment="1">
      <alignment horizontal="center" vertical="center" wrapText="1"/>
    </xf>
    <xf numFmtId="0" fontId="42" fillId="14" borderId="53" xfId="0" applyFont="1" applyFill="1" applyBorder="1" applyAlignment="1">
      <alignment horizontal="center" vertical="center" wrapText="1"/>
    </xf>
    <xf numFmtId="0" fontId="42" fillId="14" borderId="54" xfId="0" applyFont="1" applyFill="1" applyBorder="1" applyAlignment="1">
      <alignment horizontal="center" vertical="center" wrapText="1"/>
    </xf>
    <xf numFmtId="0" fontId="0" fillId="11" borderId="55" xfId="0" applyFill="1" applyBorder="1"/>
    <xf numFmtId="0" fontId="0" fillId="11" borderId="56" xfId="0" applyFill="1" applyBorder="1"/>
    <xf numFmtId="0" fontId="0" fillId="11" borderId="57" xfId="0" applyFill="1" applyBorder="1"/>
    <xf numFmtId="0" fontId="0" fillId="11" borderId="58" xfId="0" applyFill="1" applyBorder="1"/>
    <xf numFmtId="0" fontId="40" fillId="16" borderId="29" xfId="0" applyFont="1" applyFill="1" applyBorder="1" applyAlignment="1">
      <alignment horizontal="left"/>
    </xf>
    <xf numFmtId="0" fontId="0" fillId="16" borderId="29" xfId="0" applyFill="1" applyBorder="1"/>
    <xf numFmtId="0" fontId="33" fillId="14" borderId="0" xfId="0" applyFont="1" applyFill="1"/>
    <xf numFmtId="0" fontId="0" fillId="21" borderId="60" xfId="0" applyFill="1" applyBorder="1" applyAlignment="1">
      <alignment vertical="center"/>
    </xf>
    <xf numFmtId="0" fontId="33" fillId="14" borderId="61" xfId="0" applyFont="1" applyFill="1" applyBorder="1"/>
    <xf numFmtId="167" fontId="33" fillId="14" borderId="61" xfId="0" applyNumberFormat="1" applyFont="1" applyFill="1" applyBorder="1" applyAlignment="1">
      <alignment horizontal="center"/>
    </xf>
    <xf numFmtId="167" fontId="33" fillId="14" borderId="62" xfId="0" applyNumberFormat="1" applyFont="1" applyFill="1" applyBorder="1" applyAlignment="1">
      <alignment horizontal="center"/>
    </xf>
    <xf numFmtId="0" fontId="38" fillId="0" borderId="42" xfId="0" applyFont="1" applyBorder="1" applyAlignment="1">
      <alignment horizontal="center" vertical="center"/>
    </xf>
    <xf numFmtId="0" fontId="38" fillId="0" borderId="0" xfId="0" applyFont="1" applyAlignment="1">
      <alignment horizontal="center"/>
    </xf>
    <xf numFmtId="0" fontId="0" fillId="16" borderId="64" xfId="0" applyFill="1" applyBorder="1"/>
    <xf numFmtId="0" fontId="0" fillId="11" borderId="65" xfId="0" applyFill="1" applyBorder="1"/>
    <xf numFmtId="0" fontId="0" fillId="16" borderId="65" xfId="0" applyFill="1" applyBorder="1"/>
    <xf numFmtId="0" fontId="40" fillId="16" borderId="65" xfId="0" applyFont="1" applyFill="1" applyBorder="1" applyAlignment="1">
      <alignment horizontal="left"/>
    </xf>
    <xf numFmtId="0" fontId="0" fillId="11" borderId="67" xfId="0" applyFill="1" applyBorder="1"/>
    <xf numFmtId="0" fontId="0" fillId="11" borderId="68" xfId="0" applyFill="1" applyBorder="1"/>
    <xf numFmtId="0" fontId="33" fillId="14" borderId="69" xfId="0" applyFont="1" applyFill="1" applyBorder="1"/>
    <xf numFmtId="0" fontId="32" fillId="14" borderId="69" xfId="0" applyFont="1" applyFill="1" applyBorder="1"/>
    <xf numFmtId="168" fontId="39" fillId="14" borderId="69" xfId="1" applyNumberFormat="1" applyFont="1" applyFill="1" applyBorder="1"/>
    <xf numFmtId="168" fontId="39" fillId="14" borderId="70" xfId="1" applyNumberFormat="1" applyFont="1" applyFill="1" applyBorder="1"/>
    <xf numFmtId="0" fontId="57" fillId="16" borderId="29" xfId="0" applyFont="1" applyFill="1" applyBorder="1" applyAlignment="1">
      <alignment horizontal="left"/>
    </xf>
    <xf numFmtId="0" fontId="46" fillId="0" borderId="63" xfId="0" applyFont="1" applyBorder="1" applyAlignment="1">
      <alignment vertical="center"/>
    </xf>
    <xf numFmtId="0" fontId="46" fillId="0" borderId="66" xfId="0" applyFont="1" applyBorder="1" applyAlignment="1">
      <alignment vertical="center"/>
    </xf>
    <xf numFmtId="0" fontId="46" fillId="21" borderId="63" xfId="0" applyFont="1" applyFill="1" applyBorder="1" applyAlignment="1">
      <alignment vertical="center"/>
    </xf>
    <xf numFmtId="0" fontId="46" fillId="16" borderId="63" xfId="0" applyFont="1" applyFill="1" applyBorder="1" applyAlignment="1">
      <alignment vertical="center"/>
    </xf>
    <xf numFmtId="0" fontId="0" fillId="21" borderId="0" xfId="0" applyFill="1"/>
    <xf numFmtId="0" fontId="0" fillId="0" borderId="59" xfId="0" applyBorder="1"/>
    <xf numFmtId="0" fontId="42" fillId="14" borderId="71" xfId="0" applyFont="1" applyFill="1" applyBorder="1" applyAlignment="1">
      <alignment vertical="center"/>
    </xf>
    <xf numFmtId="0" fontId="42" fillId="14" borderId="41" xfId="0" applyFont="1" applyFill="1" applyBorder="1" applyAlignment="1">
      <alignment horizontal="center" vertical="center"/>
    </xf>
    <xf numFmtId="0" fontId="33" fillId="14" borderId="42" xfId="0" applyFont="1" applyFill="1" applyBorder="1"/>
    <xf numFmtId="167" fontId="33" fillId="14" borderId="0" xfId="0" applyNumberFormat="1" applyFont="1" applyFill="1" applyAlignment="1">
      <alignment horizontal="center" vertical="center"/>
    </xf>
    <xf numFmtId="167" fontId="33" fillId="14" borderId="0" xfId="0" applyNumberFormat="1" applyFont="1" applyFill="1" applyAlignment="1">
      <alignment vertical="center"/>
    </xf>
    <xf numFmtId="0" fontId="42" fillId="14" borderId="0" xfId="0" applyFont="1" applyFill="1" applyAlignment="1">
      <alignment vertical="center"/>
    </xf>
    <xf numFmtId="0" fontId="42" fillId="14" borderId="0" xfId="0" applyFont="1" applyFill="1" applyAlignment="1">
      <alignment horizontal="center" vertical="center"/>
    </xf>
    <xf numFmtId="0" fontId="42" fillId="14" borderId="43" xfId="0" applyFont="1" applyFill="1" applyBorder="1" applyAlignment="1">
      <alignment horizontal="center" vertical="center"/>
    </xf>
    <xf numFmtId="167" fontId="33" fillId="19" borderId="0" xfId="0" applyNumberFormat="1" applyFont="1" applyFill="1" applyAlignment="1">
      <alignment vertical="center"/>
    </xf>
    <xf numFmtId="0" fontId="42" fillId="19" borderId="0" xfId="0" applyFont="1" applyFill="1" applyAlignment="1">
      <alignment vertical="center"/>
    </xf>
    <xf numFmtId="0" fontId="42" fillId="19" borderId="0" xfId="0" applyFont="1" applyFill="1" applyAlignment="1">
      <alignment horizontal="center" vertical="center"/>
    </xf>
    <xf numFmtId="0" fontId="42" fillId="19" borderId="43" xfId="0" applyFont="1" applyFill="1" applyBorder="1" applyAlignment="1">
      <alignment horizontal="center" vertical="center"/>
    </xf>
    <xf numFmtId="9" fontId="0" fillId="16" borderId="32" xfId="2" applyFont="1" applyFill="1" applyBorder="1" applyAlignment="1">
      <alignment horizontal="center" vertical="center"/>
    </xf>
    <xf numFmtId="0" fontId="48" fillId="19" borderId="0" xfId="0" applyFont="1" applyFill="1"/>
    <xf numFmtId="0" fontId="31" fillId="16" borderId="31" xfId="0" applyFont="1" applyFill="1" applyBorder="1" applyAlignment="1">
      <alignment horizontal="left" wrapText="1"/>
    </xf>
    <xf numFmtId="0" fontId="31" fillId="16" borderId="31" xfId="0" applyFont="1" applyFill="1" applyBorder="1" applyAlignment="1">
      <alignment horizontal="left" wrapText="1" indent="1"/>
    </xf>
    <xf numFmtId="0" fontId="33" fillId="14" borderId="39" xfId="0" applyFont="1" applyFill="1" applyBorder="1"/>
    <xf numFmtId="0" fontId="31" fillId="16" borderId="31" xfId="0" applyFont="1" applyFill="1" applyBorder="1" applyAlignment="1">
      <alignment horizontal="left" wrapText="1" indent="2"/>
    </xf>
    <xf numFmtId="0" fontId="33" fillId="19" borderId="42" xfId="0" applyFont="1" applyFill="1" applyBorder="1"/>
    <xf numFmtId="0" fontId="31" fillId="16" borderId="73" xfId="0" applyFont="1" applyFill="1" applyBorder="1" applyAlignment="1">
      <alignment horizontal="center" wrapText="1"/>
    </xf>
    <xf numFmtId="0" fontId="45" fillId="16" borderId="65" xfId="3" quotePrefix="1" applyFill="1" applyBorder="1" applyAlignment="1">
      <alignment horizontal="center" vertical="center"/>
    </xf>
    <xf numFmtId="0" fontId="31" fillId="16" borderId="73" xfId="0" applyFont="1" applyFill="1" applyBorder="1" applyAlignment="1">
      <alignment horizontal="center" vertical="center" wrapText="1"/>
    </xf>
    <xf numFmtId="0" fontId="31" fillId="16" borderId="74" xfId="0" applyFont="1" applyFill="1" applyBorder="1" applyAlignment="1">
      <alignment horizontal="center" vertical="center" wrapText="1"/>
    </xf>
    <xf numFmtId="0" fontId="31" fillId="16" borderId="75" xfId="0" applyFont="1" applyFill="1" applyBorder="1" applyAlignment="1">
      <alignment horizontal="left" wrapText="1"/>
    </xf>
    <xf numFmtId="9" fontId="0" fillId="16" borderId="67" xfId="2" applyFont="1" applyFill="1" applyBorder="1" applyAlignment="1">
      <alignment horizontal="center" vertical="center"/>
    </xf>
    <xf numFmtId="0" fontId="45" fillId="16" borderId="68" xfId="3" quotePrefix="1" applyFill="1" applyBorder="1" applyAlignment="1">
      <alignment horizontal="center" vertical="center"/>
    </xf>
    <xf numFmtId="9" fontId="0" fillId="0" borderId="37" xfId="2" applyFont="1" applyBorder="1"/>
    <xf numFmtId="0" fontId="0" fillId="0" borderId="37" xfId="2" applyNumberFormat="1" applyFont="1" applyBorder="1"/>
    <xf numFmtId="0" fontId="0" fillId="0" borderId="59" xfId="2" applyNumberFormat="1" applyFont="1" applyBorder="1"/>
    <xf numFmtId="2" fontId="0" fillId="0" borderId="59" xfId="0" applyNumberFormat="1" applyBorder="1"/>
    <xf numFmtId="9" fontId="0" fillId="0" borderId="59" xfId="0" applyNumberFormat="1" applyBorder="1"/>
    <xf numFmtId="9" fontId="0" fillId="0" borderId="59" xfId="2" applyFont="1" applyBorder="1"/>
    <xf numFmtId="0" fontId="0" fillId="16" borderId="32" xfId="2" applyNumberFormat="1" applyFont="1" applyFill="1" applyBorder="1" applyAlignment="1">
      <alignment horizontal="center" vertical="center"/>
    </xf>
    <xf numFmtId="2" fontId="0" fillId="16" borderId="32" xfId="2" applyNumberFormat="1" applyFont="1" applyFill="1" applyBorder="1" applyAlignment="1">
      <alignment horizontal="center" vertical="center"/>
    </xf>
    <xf numFmtId="0" fontId="0" fillId="0" borderId="59" xfId="0" applyBorder="1" applyAlignment="1">
      <alignment wrapText="1"/>
    </xf>
    <xf numFmtId="0" fontId="58" fillId="0" borderId="59" xfId="0" applyFont="1" applyBorder="1" applyAlignment="1">
      <alignment wrapText="1"/>
    </xf>
    <xf numFmtId="0" fontId="58" fillId="21" borderId="59" xfId="0" applyFont="1" applyFill="1" applyBorder="1"/>
    <xf numFmtId="0" fontId="58" fillId="21" borderId="59" xfId="0" applyFont="1" applyFill="1" applyBorder="1" applyAlignment="1">
      <alignment horizontal="center" vertical="center"/>
    </xf>
    <xf numFmtId="0" fontId="58" fillId="0" borderId="59" xfId="0" applyFont="1" applyBorder="1" applyAlignment="1">
      <alignment vertical="center" wrapText="1"/>
    </xf>
    <xf numFmtId="0" fontId="0" fillId="19" borderId="59" xfId="0" applyFill="1" applyBorder="1" applyAlignment="1">
      <alignment wrapText="1"/>
    </xf>
    <xf numFmtId="0" fontId="0" fillId="19" borderId="59" xfId="0" applyFill="1" applyBorder="1"/>
    <xf numFmtId="0" fontId="5" fillId="3" borderId="19" xfId="0" applyFont="1" applyFill="1" applyBorder="1" applyAlignment="1">
      <alignment vertical="center" wrapText="1"/>
    </xf>
    <xf numFmtId="0" fontId="6" fillId="4" borderId="20" xfId="0" applyFont="1" applyFill="1" applyBorder="1" applyAlignment="1">
      <alignment vertical="center" wrapText="1"/>
    </xf>
    <xf numFmtId="0" fontId="6" fillId="13" borderId="21" xfId="0" applyFont="1" applyFill="1" applyBorder="1" applyAlignment="1">
      <alignment vertical="center" wrapText="1"/>
    </xf>
    <xf numFmtId="0" fontId="5" fillId="3" borderId="22" xfId="0" applyFont="1" applyFill="1" applyBorder="1" applyAlignment="1">
      <alignment vertical="center" wrapText="1"/>
    </xf>
    <xf numFmtId="0" fontId="6" fillId="4" borderId="23" xfId="0" applyFont="1" applyFill="1" applyBorder="1" applyAlignment="1">
      <alignment vertical="center" wrapText="1"/>
    </xf>
    <xf numFmtId="169" fontId="0" fillId="16" borderId="32" xfId="2" applyNumberFormat="1" applyFont="1" applyFill="1" applyBorder="1" applyAlignment="1">
      <alignment horizontal="center" vertical="center"/>
    </xf>
    <xf numFmtId="9" fontId="31" fillId="16" borderId="32" xfId="2" applyFont="1" applyFill="1" applyBorder="1" applyAlignment="1">
      <alignment horizontal="center" vertical="center"/>
    </xf>
    <xf numFmtId="169" fontId="0" fillId="0" borderId="59" xfId="2" applyNumberFormat="1" applyFont="1" applyBorder="1"/>
    <xf numFmtId="0" fontId="4" fillId="5" borderId="32" xfId="0" applyFont="1" applyFill="1" applyBorder="1" applyAlignment="1">
      <alignment horizontal="left" vertical="center" wrapText="1"/>
    </xf>
    <xf numFmtId="0" fontId="10" fillId="20" borderId="79" xfId="0" applyFont="1" applyFill="1" applyBorder="1" applyAlignment="1">
      <alignment horizontal="center" vertical="center" wrapText="1"/>
    </xf>
    <xf numFmtId="0" fontId="45" fillId="0" borderId="0" xfId="3" quotePrefix="1" applyAlignment="1">
      <alignment vertical="center"/>
    </xf>
    <xf numFmtId="0" fontId="42" fillId="14" borderId="40" xfId="0" applyFont="1" applyFill="1" applyBorder="1" applyAlignment="1">
      <alignment vertical="center"/>
    </xf>
    <xf numFmtId="9" fontId="0" fillId="16" borderId="32" xfId="2" applyFont="1" applyFill="1" applyBorder="1" applyAlignment="1">
      <alignment vertical="center"/>
    </xf>
    <xf numFmtId="169" fontId="0" fillId="16" borderId="32" xfId="2" applyNumberFormat="1" applyFont="1" applyFill="1" applyBorder="1" applyAlignment="1">
      <alignment vertical="center"/>
    </xf>
    <xf numFmtId="0" fontId="31" fillId="16" borderId="73" xfId="0" applyFont="1" applyFill="1" applyBorder="1" applyAlignment="1">
      <alignment vertical="center" wrapText="1"/>
    </xf>
    <xf numFmtId="0" fontId="31" fillId="16" borderId="31" xfId="0" applyFont="1" applyFill="1" applyBorder="1" applyAlignment="1">
      <alignment vertical="center" wrapText="1"/>
    </xf>
    <xf numFmtId="0" fontId="0" fillId="11" borderId="32" xfId="0" applyFill="1" applyBorder="1" applyAlignment="1">
      <alignment vertical="center"/>
    </xf>
    <xf numFmtId="0" fontId="59" fillId="0" borderId="80" xfId="0" applyFont="1" applyBorder="1" applyAlignment="1">
      <alignment horizontal="center" vertical="center" wrapText="1"/>
    </xf>
    <xf numFmtId="0" fontId="59" fillId="0" borderId="80" xfId="0" applyFont="1" applyBorder="1" applyAlignment="1">
      <alignment vertical="center" wrapText="1"/>
    </xf>
    <xf numFmtId="0" fontId="0" fillId="0" borderId="80" xfId="0" applyBorder="1" applyAlignment="1">
      <alignment vertical="center" wrapText="1"/>
    </xf>
    <xf numFmtId="0" fontId="0" fillId="0" borderId="80" xfId="0" applyBorder="1" applyAlignment="1">
      <alignment horizontal="left" vertical="center" wrapText="1"/>
    </xf>
    <xf numFmtId="0" fontId="21" fillId="14" borderId="37" xfId="0" applyFont="1" applyFill="1" applyBorder="1" applyAlignment="1">
      <alignment vertical="center"/>
    </xf>
    <xf numFmtId="0" fontId="10" fillId="15" borderId="37" xfId="0" applyFont="1" applyFill="1" applyBorder="1" applyAlignment="1" applyProtection="1">
      <alignment horizontal="left"/>
      <protection locked="0"/>
    </xf>
    <xf numFmtId="0" fontId="8" fillId="4" borderId="32" xfId="0" applyFont="1" applyFill="1" applyBorder="1" applyAlignment="1">
      <alignment vertical="center" wrapText="1"/>
    </xf>
    <xf numFmtId="0" fontId="0" fillId="0" borderId="0" xfId="0" applyAlignment="1">
      <alignment horizontal="right"/>
    </xf>
    <xf numFmtId="0" fontId="0" fillId="0" borderId="0" xfId="0" applyAlignment="1">
      <alignment horizontal="left"/>
    </xf>
    <xf numFmtId="0" fontId="1" fillId="0" borderId="0" xfId="4" applyAlignment="1">
      <alignment horizontal="left"/>
    </xf>
    <xf numFmtId="0" fontId="1" fillId="0" borderId="0" xfId="4" applyAlignment="1">
      <alignment wrapText="1"/>
    </xf>
    <xf numFmtId="0" fontId="1" fillId="0" borderId="0" xfId="4"/>
    <xf numFmtId="0" fontId="3" fillId="3" borderId="1" xfId="4" applyFont="1" applyFill="1" applyBorder="1" applyAlignment="1">
      <alignment vertical="center" wrapText="1"/>
    </xf>
    <xf numFmtId="0" fontId="4" fillId="4" borderId="3" xfId="4" applyFont="1" applyFill="1" applyBorder="1" applyAlignment="1">
      <alignment wrapText="1"/>
    </xf>
    <xf numFmtId="0" fontId="3" fillId="3" borderId="0" xfId="4" applyFont="1" applyFill="1" applyAlignment="1">
      <alignment vertical="center" wrapText="1"/>
    </xf>
    <xf numFmtId="0" fontId="3" fillId="3" borderId="4" xfId="4" applyFont="1" applyFill="1" applyBorder="1" applyAlignment="1">
      <alignment vertical="center" wrapText="1"/>
    </xf>
    <xf numFmtId="0" fontId="4" fillId="4" borderId="5" xfId="4" applyFont="1" applyFill="1" applyBorder="1" applyAlignment="1">
      <alignment wrapText="1"/>
    </xf>
    <xf numFmtId="0" fontId="2" fillId="0" borderId="0" xfId="4" applyFont="1" applyAlignment="1">
      <alignment horizontal="center" wrapText="1"/>
    </xf>
    <xf numFmtId="0" fontId="2" fillId="0" borderId="0" xfId="4" applyFont="1" applyAlignment="1">
      <alignment horizontal="center"/>
    </xf>
    <xf numFmtId="0" fontId="3" fillId="3" borderId="8" xfId="4" applyFont="1" applyFill="1" applyBorder="1" applyAlignment="1">
      <alignment vertical="center" wrapText="1"/>
    </xf>
    <xf numFmtId="0" fontId="4" fillId="0" borderId="0" xfId="4" applyFont="1" applyAlignment="1">
      <alignment wrapText="1"/>
    </xf>
    <xf numFmtId="0" fontId="31" fillId="19" borderId="40" xfId="0" applyFont="1" applyFill="1" applyBorder="1"/>
    <xf numFmtId="0" fontId="0" fillId="0" borderId="71" xfId="0" applyBorder="1"/>
    <xf numFmtId="0" fontId="0" fillId="0" borderId="41" xfId="0" applyBorder="1"/>
    <xf numFmtId="0" fontId="0" fillId="0" borderId="43" xfId="0" applyBorder="1"/>
    <xf numFmtId="0" fontId="0" fillId="0" borderId="42" xfId="0" applyBorder="1"/>
    <xf numFmtId="0" fontId="0" fillId="0" borderId="86" xfId="0" applyBorder="1"/>
    <xf numFmtId="0" fontId="0" fillId="0" borderId="84" xfId="0" applyBorder="1"/>
    <xf numFmtId="0" fontId="0" fillId="0" borderId="87" xfId="0" applyBorder="1"/>
    <xf numFmtId="0" fontId="0" fillId="19" borderId="40" xfId="0" applyFill="1" applyBorder="1"/>
    <xf numFmtId="0" fontId="31" fillId="0" borderId="42" xfId="0" applyFont="1" applyBorder="1" applyAlignment="1">
      <alignment horizontal="left" wrapText="1"/>
    </xf>
    <xf numFmtId="2" fontId="0" fillId="0" borderId="0" xfId="0" applyNumberFormat="1"/>
    <xf numFmtId="0" fontId="31" fillId="0" borderId="86" xfId="0" applyFont="1" applyBorder="1" applyAlignment="1">
      <alignment horizontal="left" wrapText="1"/>
    </xf>
    <xf numFmtId="2" fontId="0" fillId="0" borderId="84" xfId="0" applyNumberFormat="1" applyBorder="1"/>
    <xf numFmtId="9" fontId="0" fillId="0" borderId="48" xfId="2" applyFont="1" applyBorder="1"/>
    <xf numFmtId="9" fontId="0" fillId="0" borderId="89" xfId="2" applyFont="1" applyBorder="1"/>
    <xf numFmtId="14" fontId="0" fillId="0" borderId="89" xfId="2" applyNumberFormat="1" applyFont="1" applyBorder="1"/>
    <xf numFmtId="0" fontId="31" fillId="19" borderId="90" xfId="0" applyFont="1" applyFill="1" applyBorder="1"/>
    <xf numFmtId="0" fontId="31" fillId="19" borderId="91" xfId="0" applyFont="1" applyFill="1" applyBorder="1"/>
    <xf numFmtId="0" fontId="31" fillId="19" borderId="88" xfId="0" applyFont="1" applyFill="1" applyBorder="1"/>
    <xf numFmtId="0" fontId="31" fillId="21" borderId="42" xfId="0" applyFont="1" applyFill="1" applyBorder="1"/>
    <xf numFmtId="0" fontId="31" fillId="0" borderId="74" xfId="0" applyFont="1" applyBorder="1" applyAlignment="1">
      <alignment horizontal="left" wrapText="1"/>
    </xf>
    <xf numFmtId="0" fontId="31" fillId="21" borderId="43" xfId="0" applyFont="1" applyFill="1" applyBorder="1"/>
    <xf numFmtId="0" fontId="7" fillId="4" borderId="32" xfId="0" applyFont="1" applyFill="1" applyBorder="1" applyAlignment="1">
      <alignment vertical="center" wrapText="1"/>
    </xf>
    <xf numFmtId="0" fontId="8" fillId="4" borderId="33" xfId="0" applyFont="1" applyFill="1" applyBorder="1" applyAlignment="1">
      <alignment vertical="center" wrapText="1"/>
    </xf>
    <xf numFmtId="0" fontId="7" fillId="4" borderId="32" xfId="0" applyFont="1" applyFill="1" applyBorder="1" applyAlignment="1">
      <alignment horizontal="left" vertical="center" wrapText="1"/>
    </xf>
    <xf numFmtId="0" fontId="26" fillId="4" borderId="33" xfId="0" applyFont="1" applyFill="1" applyBorder="1" applyAlignment="1">
      <alignment vertical="center" wrapText="1"/>
    </xf>
    <xf numFmtId="0" fontId="7" fillId="5" borderId="32" xfId="0" applyFont="1" applyFill="1" applyBorder="1" applyAlignment="1">
      <alignment horizontal="left" vertical="center" wrapText="1"/>
    </xf>
    <xf numFmtId="0" fontId="26" fillId="5" borderId="32" xfId="0" applyFont="1" applyFill="1" applyBorder="1" applyAlignment="1">
      <alignment horizontal="left" vertical="center" wrapText="1"/>
    </xf>
    <xf numFmtId="0" fontId="7" fillId="4" borderId="33" xfId="0" applyFont="1" applyFill="1" applyBorder="1" applyAlignment="1">
      <alignment horizontal="left" vertical="center" wrapText="1"/>
    </xf>
    <xf numFmtId="0" fontId="45" fillId="5" borderId="33" xfId="3" applyFill="1" applyBorder="1" applyAlignment="1">
      <alignment vertical="center" wrapText="1"/>
    </xf>
    <xf numFmtId="0" fontId="45" fillId="5" borderId="32" xfId="3" applyFill="1" applyBorder="1" applyAlignment="1">
      <alignment vertical="center" wrapText="1"/>
    </xf>
    <xf numFmtId="0" fontId="45" fillId="4" borderId="33" xfId="3" applyFill="1" applyBorder="1" applyAlignment="1">
      <alignment vertical="center" wrapText="1"/>
    </xf>
    <xf numFmtId="0" fontId="45" fillId="4" borderId="32" xfId="3" applyFill="1" applyBorder="1" applyAlignment="1">
      <alignment vertical="center" wrapText="1"/>
    </xf>
    <xf numFmtId="0" fontId="45" fillId="4" borderId="33" xfId="3" applyFill="1" applyBorder="1" applyAlignment="1">
      <alignment horizontal="left" vertical="center" wrapText="1"/>
    </xf>
    <xf numFmtId="0" fontId="45" fillId="4" borderId="32" xfId="3" applyFill="1" applyBorder="1" applyAlignment="1">
      <alignment horizontal="left" vertical="center" wrapText="1"/>
    </xf>
    <xf numFmtId="0" fontId="2" fillId="2" borderId="28"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8" fillId="4" borderId="35" xfId="0" applyFont="1" applyFill="1" applyBorder="1" applyAlignment="1">
      <alignment horizontal="left" vertical="center" wrapText="1"/>
    </xf>
    <xf numFmtId="0" fontId="6" fillId="5" borderId="32" xfId="0" applyFont="1" applyFill="1" applyBorder="1" applyAlignment="1">
      <alignment horizontal="left" vertical="center" wrapText="1"/>
    </xf>
    <xf numFmtId="0" fontId="8" fillId="5" borderId="32" xfId="0" applyFont="1" applyFill="1" applyBorder="1" applyAlignment="1">
      <alignment horizontal="left" vertical="center" wrapText="1"/>
    </xf>
    <xf numFmtId="0" fontId="8" fillId="5" borderId="33" xfId="0" applyFont="1" applyFill="1" applyBorder="1" applyAlignment="1">
      <alignment horizontal="left" vertical="center" wrapText="1"/>
    </xf>
    <xf numFmtId="0" fontId="11" fillId="4" borderId="32" xfId="0" applyFont="1" applyFill="1" applyBorder="1" applyAlignment="1">
      <alignment vertical="center" wrapText="1"/>
    </xf>
    <xf numFmtId="0" fontId="7" fillId="4" borderId="33" xfId="0" applyFont="1" applyFill="1" applyBorder="1" applyAlignment="1">
      <alignment vertical="center" wrapText="1"/>
    </xf>
    <xf numFmtId="0" fontId="8" fillId="4" borderId="35" xfId="0" applyFont="1" applyFill="1" applyBorder="1" applyAlignment="1">
      <alignment vertical="center" wrapText="1"/>
    </xf>
    <xf numFmtId="0" fontId="8" fillId="4" borderId="36" xfId="0" applyFont="1" applyFill="1" applyBorder="1" applyAlignment="1">
      <alignment vertical="center" wrapText="1"/>
    </xf>
    <xf numFmtId="0" fontId="3" fillId="4" borderId="0" xfId="0" applyFont="1" applyFill="1" applyAlignment="1">
      <alignment vertical="center" wrapText="1"/>
    </xf>
    <xf numFmtId="0" fontId="6" fillId="4" borderId="0" xfId="0" applyFont="1" applyFill="1" applyAlignment="1">
      <alignment horizontal="left" vertical="center" wrapText="1"/>
    </xf>
    <xf numFmtId="0" fontId="4" fillId="4" borderId="0" xfId="0" applyFont="1" applyFill="1" applyAlignment="1">
      <alignment horizontal="left" vertical="center" wrapText="1"/>
    </xf>
    <xf numFmtId="0" fontId="3" fillId="0" borderId="0" xfId="0" applyFont="1"/>
    <xf numFmtId="0" fontId="3" fillId="0" borderId="0" xfId="0" applyFont="1" applyAlignment="1">
      <alignment wrapText="1"/>
    </xf>
    <xf numFmtId="0" fontId="3" fillId="3" borderId="0" xfId="0" applyFont="1" applyFill="1"/>
    <xf numFmtId="0" fontId="3" fillId="3" borderId="0" xfId="0" applyFont="1" applyFill="1" applyAlignment="1">
      <alignment wrapText="1"/>
    </xf>
    <xf numFmtId="0" fontId="3" fillId="3" borderId="1" xfId="0" applyFont="1" applyFill="1" applyBorder="1" applyAlignment="1">
      <alignment vertical="center" wrapText="1"/>
    </xf>
    <xf numFmtId="0" fontId="31" fillId="11" borderId="20" xfId="0" applyFont="1" applyFill="1" applyBorder="1"/>
    <xf numFmtId="0" fontId="10" fillId="15" borderId="37" xfId="0" applyFont="1" applyFill="1" applyBorder="1" applyAlignment="1" applyProtection="1">
      <alignment horizontal="center"/>
      <protection locked="0"/>
    </xf>
    <xf numFmtId="166" fontId="10" fillId="15" borderId="37" xfId="0" applyNumberFormat="1" applyFont="1" applyFill="1" applyBorder="1" applyAlignment="1" applyProtection="1">
      <alignment horizontal="center"/>
      <protection locked="0"/>
    </xf>
    <xf numFmtId="0" fontId="31" fillId="0" borderId="35" xfId="0" applyFont="1" applyBorder="1" applyAlignment="1">
      <alignment horizontal="left" indent="1"/>
    </xf>
    <xf numFmtId="0" fontId="10" fillId="0" borderId="43" xfId="0" applyFont="1" applyBorder="1"/>
    <xf numFmtId="0" fontId="31" fillId="0" borderId="67" xfId="0" applyFont="1" applyBorder="1" applyAlignment="1">
      <alignment horizontal="left" indent="1"/>
    </xf>
    <xf numFmtId="0" fontId="31" fillId="11" borderId="32" xfId="0" applyFont="1" applyFill="1" applyBorder="1"/>
    <xf numFmtId="0" fontId="31" fillId="16" borderId="32" xfId="0" applyFont="1" applyFill="1" applyBorder="1"/>
    <xf numFmtId="0" fontId="31" fillId="0" borderId="32" xfId="0" applyFont="1" applyBorder="1" applyAlignment="1">
      <alignment horizontal="left" vertical="center" wrapText="1" indent="1"/>
    </xf>
    <xf numFmtId="0" fontId="21" fillId="14" borderId="0" xfId="0" applyFont="1" applyFill="1" applyAlignment="1">
      <alignment vertical="center"/>
    </xf>
    <xf numFmtId="0" fontId="10" fillId="15" borderId="0" xfId="0" applyFont="1" applyFill="1" applyAlignment="1" applyProtection="1">
      <alignment horizontal="left" vertical="center"/>
      <protection locked="0"/>
    </xf>
    <xf numFmtId="9" fontId="31" fillId="16" borderId="32" xfId="2" applyFont="1" applyFill="1" applyBorder="1" applyAlignment="1">
      <alignment vertical="center"/>
    </xf>
    <xf numFmtId="169" fontId="31" fillId="16" borderId="32" xfId="2" applyNumberFormat="1" applyFont="1" applyFill="1" applyBorder="1" applyAlignment="1">
      <alignment vertical="center"/>
    </xf>
    <xf numFmtId="0" fontId="31" fillId="16" borderId="32" xfId="2" applyNumberFormat="1" applyFont="1" applyFill="1" applyBorder="1" applyAlignment="1">
      <alignment vertical="center"/>
    </xf>
    <xf numFmtId="0" fontId="31" fillId="16" borderId="32" xfId="2" applyNumberFormat="1" applyFont="1" applyFill="1" applyBorder="1" applyAlignment="1">
      <alignment horizontal="center" vertical="center"/>
    </xf>
    <xf numFmtId="9" fontId="31" fillId="16" borderId="32" xfId="2" applyFont="1" applyFill="1" applyBorder="1" applyAlignment="1">
      <alignment horizontal="center" vertical="center" wrapText="1"/>
    </xf>
    <xf numFmtId="0" fontId="31" fillId="19" borderId="0" xfId="0" applyFont="1" applyFill="1"/>
    <xf numFmtId="0" fontId="31" fillId="18" borderId="0" xfId="0" applyFont="1" applyFill="1"/>
    <xf numFmtId="0" fontId="8" fillId="4" borderId="0" xfId="0" applyFont="1" applyFill="1" applyAlignment="1">
      <alignment vertical="center" wrapText="1"/>
    </xf>
    <xf numFmtId="0" fontId="7" fillId="4" borderId="0" xfId="0" applyFont="1" applyFill="1" applyAlignment="1">
      <alignment vertical="center" wrapText="1"/>
    </xf>
    <xf numFmtId="0" fontId="6" fillId="5" borderId="0" xfId="0" applyFont="1" applyFill="1" applyAlignment="1">
      <alignment horizontal="left" vertical="center" wrapText="1"/>
    </xf>
    <xf numFmtId="0" fontId="8" fillId="5" borderId="0" xfId="0" applyFont="1" applyFill="1" applyAlignment="1">
      <alignment horizontal="left" vertical="center" wrapText="1"/>
    </xf>
    <xf numFmtId="0" fontId="2" fillId="2" borderId="2" xfId="0" applyFont="1" applyFill="1" applyBorder="1" applyAlignment="1">
      <alignment horizontal="center" vertical="center" wrapText="1"/>
    </xf>
    <xf numFmtId="9" fontId="2" fillId="2" borderId="2" xfId="0" applyNumberFormat="1" applyFont="1" applyFill="1" applyBorder="1" applyAlignment="1">
      <alignment horizontal="center" vertical="center" wrapText="1"/>
    </xf>
    <xf numFmtId="0" fontId="3" fillId="4" borderId="2" xfId="0" applyFont="1" applyFill="1" applyBorder="1" applyAlignment="1">
      <alignment horizontal="center" vertical="top" wrapText="1"/>
    </xf>
    <xf numFmtId="0" fontId="3" fillId="4" borderId="2" xfId="0" applyFont="1" applyFill="1" applyBorder="1" applyAlignment="1">
      <alignment vertical="top" wrapText="1"/>
    </xf>
    <xf numFmtId="9" fontId="3" fillId="4" borderId="2" xfId="0" applyNumberFormat="1" applyFont="1" applyFill="1" applyBorder="1" applyAlignment="1">
      <alignment vertical="top" wrapText="1"/>
    </xf>
    <xf numFmtId="9" fontId="10" fillId="4" borderId="0" xfId="0" applyNumberFormat="1" applyFont="1" applyFill="1"/>
    <xf numFmtId="0" fontId="8" fillId="4" borderId="2" xfId="0" applyFont="1" applyFill="1" applyBorder="1" applyAlignment="1">
      <alignment vertical="top" wrapText="1"/>
    </xf>
    <xf numFmtId="0" fontId="7" fillId="4" borderId="2" xfId="0" applyFont="1" applyFill="1" applyBorder="1" applyAlignment="1">
      <alignment vertical="top" wrapText="1"/>
    </xf>
    <xf numFmtId="0" fontId="45" fillId="19" borderId="43" xfId="3" applyFill="1" applyBorder="1" applyAlignment="1">
      <alignment vertical="center"/>
    </xf>
    <xf numFmtId="0" fontId="45" fillId="19" borderId="43" xfId="3" applyFill="1" applyBorder="1" applyAlignment="1">
      <alignment horizontal="center" vertical="center"/>
    </xf>
    <xf numFmtId="0" fontId="45" fillId="14" borderId="72" xfId="3" applyFill="1" applyBorder="1"/>
    <xf numFmtId="0" fontId="4" fillId="4" borderId="95" xfId="0" applyFont="1" applyFill="1" applyBorder="1" applyAlignment="1">
      <alignment wrapText="1"/>
    </xf>
    <xf numFmtId="0" fontId="4" fillId="4" borderId="97" xfId="0" applyFont="1" applyFill="1" applyBorder="1" applyAlignment="1">
      <alignment wrapText="1"/>
    </xf>
    <xf numFmtId="0" fontId="4" fillId="4" borderId="99" xfId="0" applyFont="1" applyFill="1" applyBorder="1" applyAlignment="1">
      <alignment wrapText="1"/>
    </xf>
    <xf numFmtId="0" fontId="5" fillId="25" borderId="25" xfId="0" applyFont="1" applyFill="1" applyBorder="1" applyAlignment="1">
      <alignment vertical="center" wrapText="1"/>
    </xf>
    <xf numFmtId="0" fontId="6" fillId="26" borderId="26" xfId="0" applyFont="1" applyFill="1" applyBorder="1" applyAlignment="1">
      <alignment vertical="center" wrapText="1"/>
    </xf>
    <xf numFmtId="0" fontId="5" fillId="25" borderId="22" xfId="0" applyFont="1" applyFill="1" applyBorder="1" applyAlignment="1">
      <alignment vertical="center" wrapText="1"/>
    </xf>
    <xf numFmtId="0" fontId="6" fillId="26" borderId="23" xfId="0" applyFont="1" applyFill="1" applyBorder="1" applyAlignment="1">
      <alignment vertical="center" wrapText="1"/>
    </xf>
    <xf numFmtId="0" fontId="60" fillId="26" borderId="24" xfId="0" applyFont="1" applyFill="1" applyBorder="1" applyAlignment="1">
      <alignment vertical="center" wrapText="1"/>
    </xf>
    <xf numFmtId="0" fontId="60" fillId="26" borderId="27" xfId="0" applyFont="1" applyFill="1" applyBorder="1" applyAlignment="1">
      <alignment vertical="center" wrapText="1"/>
    </xf>
    <xf numFmtId="0" fontId="4" fillId="4" borderId="94" xfId="0" applyFont="1" applyFill="1" applyBorder="1" applyAlignment="1">
      <alignment horizontal="center" vertical="center"/>
    </xf>
    <xf numFmtId="0" fontId="6" fillId="4" borderId="96" xfId="0" applyFont="1" applyFill="1" applyBorder="1" applyAlignment="1">
      <alignment horizontal="center" vertical="center"/>
    </xf>
    <xf numFmtId="0" fontId="4" fillId="4" borderId="96" xfId="0" applyFont="1" applyFill="1" applyBorder="1" applyAlignment="1">
      <alignment horizontal="center" vertical="center"/>
    </xf>
    <xf numFmtId="0" fontId="4" fillId="4" borderId="98" xfId="0" applyFont="1" applyFill="1" applyBorder="1" applyAlignment="1">
      <alignment horizontal="center" vertical="center"/>
    </xf>
    <xf numFmtId="0" fontId="5" fillId="24" borderId="22" xfId="0" applyFont="1" applyFill="1" applyBorder="1" applyAlignment="1">
      <alignment vertical="center" wrapText="1"/>
    </xf>
    <xf numFmtId="0" fontId="5" fillId="24" borderId="0" xfId="0" applyFont="1" applyFill="1" applyAlignment="1">
      <alignment vertical="center" wrapText="1"/>
    </xf>
    <xf numFmtId="9" fontId="0" fillId="11" borderId="32" xfId="0" applyNumberFormat="1" applyFill="1" applyBorder="1" applyAlignment="1">
      <alignment vertical="center"/>
    </xf>
    <xf numFmtId="17" fontId="0" fillId="11" borderId="100" xfId="0" applyNumberFormat="1" applyFill="1" applyBorder="1"/>
    <xf numFmtId="167" fontId="33" fillId="14" borderId="71" xfId="0" applyNumberFormat="1" applyFont="1" applyFill="1" applyBorder="1" applyAlignment="1">
      <alignment horizontal="center" vertical="center"/>
    </xf>
    <xf numFmtId="0" fontId="0" fillId="16" borderId="30" xfId="0" applyFill="1" applyBorder="1"/>
    <xf numFmtId="0" fontId="0" fillId="16" borderId="33" xfId="0" applyFill="1" applyBorder="1"/>
    <xf numFmtId="0" fontId="40" fillId="16" borderId="33" xfId="0" applyFont="1" applyFill="1" applyBorder="1" applyAlignment="1">
      <alignment horizontal="left"/>
    </xf>
    <xf numFmtId="168" fontId="39" fillId="14" borderId="0" xfId="1" applyNumberFormat="1" applyFont="1" applyFill="1" applyBorder="1"/>
    <xf numFmtId="0" fontId="0" fillId="16" borderId="0" xfId="0" applyFill="1"/>
    <xf numFmtId="0" fontId="31" fillId="16" borderId="0" xfId="0" applyFont="1" applyFill="1"/>
    <xf numFmtId="0" fontId="51" fillId="14" borderId="42" xfId="0" applyFont="1" applyFill="1" applyBorder="1" applyAlignment="1">
      <alignment horizontal="center" vertical="center"/>
    </xf>
    <xf numFmtId="0" fontId="51" fillId="14" borderId="0" xfId="0" applyFont="1" applyFill="1" applyAlignment="1">
      <alignment horizontal="center" vertical="center"/>
    </xf>
    <xf numFmtId="0" fontId="55" fillId="19" borderId="79" xfId="0" quotePrefix="1" applyFont="1" applyFill="1" applyBorder="1" applyAlignment="1" applyProtection="1">
      <alignment horizontal="center" vertical="top" wrapText="1"/>
      <protection locked="0"/>
    </xf>
    <xf numFmtId="0" fontId="55" fillId="19" borderId="0" xfId="0" quotePrefix="1" applyFont="1" applyFill="1" applyAlignment="1" applyProtection="1">
      <alignment horizontal="center" vertical="top" wrapText="1"/>
      <protection locked="0"/>
    </xf>
    <xf numFmtId="0" fontId="59" fillId="0" borderId="81" xfId="0" applyFont="1" applyBorder="1" applyAlignment="1">
      <alignment vertical="center" wrapText="1"/>
    </xf>
    <xf numFmtId="0" fontId="59" fillId="0" borderId="82" xfId="0" applyFont="1" applyBorder="1" applyAlignment="1">
      <alignment vertical="center" wrapText="1"/>
    </xf>
    <xf numFmtId="0" fontId="59" fillId="0" borderId="83" xfId="0" applyFont="1" applyBorder="1" applyAlignment="1">
      <alignment vertical="center" wrapText="1"/>
    </xf>
    <xf numFmtId="0" fontId="52" fillId="21" borderId="42" xfId="0" applyFont="1" applyFill="1" applyBorder="1" applyAlignment="1">
      <alignment horizontal="left"/>
    </xf>
    <xf numFmtId="0" fontId="52" fillId="21" borderId="43" xfId="0" applyFont="1" applyFill="1" applyBorder="1" applyAlignment="1">
      <alignment horizontal="left"/>
    </xf>
    <xf numFmtId="0" fontId="56" fillId="21" borderId="42" xfId="0" applyFont="1" applyFill="1" applyBorder="1" applyAlignment="1">
      <alignment horizontal="left"/>
    </xf>
    <xf numFmtId="0" fontId="56" fillId="21" borderId="43" xfId="0" applyFont="1" applyFill="1" applyBorder="1" applyAlignment="1">
      <alignment horizontal="left"/>
    </xf>
    <xf numFmtId="0" fontId="56" fillId="23" borderId="42" xfId="0" applyFont="1" applyFill="1" applyBorder="1" applyAlignment="1">
      <alignment horizontal="left"/>
    </xf>
    <xf numFmtId="0" fontId="56" fillId="23" borderId="43" xfId="0" applyFont="1" applyFill="1" applyBorder="1" applyAlignment="1">
      <alignment horizontal="left"/>
    </xf>
    <xf numFmtId="0" fontId="55" fillId="19" borderId="38" xfId="0" quotePrefix="1" applyFont="1" applyFill="1" applyBorder="1" applyAlignment="1" applyProtection="1">
      <alignment horizontal="left" vertical="top" wrapText="1"/>
      <protection locked="0"/>
    </xf>
    <xf numFmtId="0" fontId="55" fillId="19" borderId="39" xfId="0" quotePrefix="1" applyFont="1" applyFill="1" applyBorder="1" applyAlignment="1" applyProtection="1">
      <alignment horizontal="left" vertical="top" wrapText="1"/>
      <protection locked="0"/>
    </xf>
    <xf numFmtId="0" fontId="0" fillId="0" borderId="84" xfId="0" applyBorder="1" applyAlignment="1">
      <alignment horizontal="left"/>
    </xf>
    <xf numFmtId="0" fontId="2" fillId="2" borderId="0" xfId="0" applyFont="1" applyFill="1" applyAlignment="1">
      <alignment horizontal="left"/>
    </xf>
    <xf numFmtId="0" fontId="0" fillId="0" borderId="0" xfId="0"/>
    <xf numFmtId="0" fontId="60" fillId="27" borderId="0" xfId="0" applyFont="1" applyFill="1" applyAlignment="1">
      <alignment horizontal="left" vertical="center" wrapText="1"/>
    </xf>
    <xf numFmtId="0" fontId="60" fillId="27" borderId="100" xfId="0" applyFont="1" applyFill="1" applyBorder="1" applyAlignment="1">
      <alignment horizontal="left" vertical="center" wrapText="1"/>
    </xf>
    <xf numFmtId="0" fontId="4" fillId="4" borderId="34" xfId="0" applyFont="1" applyFill="1" applyBorder="1" applyAlignment="1">
      <alignment horizontal="left" vertical="center" wrapText="1"/>
    </xf>
    <xf numFmtId="0" fontId="4" fillId="4" borderId="92" xfId="0" applyFont="1" applyFill="1" applyBorder="1" applyAlignment="1">
      <alignment horizontal="left" vertical="center" wrapText="1"/>
    </xf>
    <xf numFmtId="0" fontId="4" fillId="4" borderId="28"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93" xfId="0" applyFont="1" applyFill="1" applyBorder="1" applyAlignment="1">
      <alignment horizontal="left" vertical="center" wrapText="1"/>
    </xf>
    <xf numFmtId="0" fontId="3" fillId="4" borderId="29" xfId="0" applyFont="1" applyFill="1" applyBorder="1" applyAlignment="1">
      <alignment horizontal="left" vertical="center" wrapText="1"/>
    </xf>
    <xf numFmtId="0" fontId="4" fillId="4" borderId="35" xfId="0" applyFont="1" applyFill="1" applyBorder="1" applyAlignment="1">
      <alignment horizontal="left" vertical="center" wrapText="1"/>
    </xf>
    <xf numFmtId="0" fontId="4" fillId="4" borderId="93" xfId="0" applyFont="1" applyFill="1" applyBorder="1" applyAlignment="1">
      <alignment horizontal="left" vertical="center" wrapText="1"/>
    </xf>
    <xf numFmtId="0" fontId="4" fillId="4" borderId="29" xfId="0" applyFont="1" applyFill="1" applyBorder="1" applyAlignment="1">
      <alignment horizontal="left" vertical="center" wrapText="1"/>
    </xf>
    <xf numFmtId="0" fontId="8" fillId="4" borderId="35" xfId="0" applyFont="1" applyFill="1" applyBorder="1" applyAlignment="1">
      <alignment horizontal="left" vertical="center" wrapText="1"/>
    </xf>
    <xf numFmtId="0" fontId="8" fillId="4" borderId="29" xfId="0" applyFont="1" applyFill="1" applyBorder="1" applyAlignment="1">
      <alignment horizontal="left" vertical="center" wrapText="1"/>
    </xf>
    <xf numFmtId="0" fontId="8" fillId="5" borderId="35" xfId="0" applyFont="1" applyFill="1" applyBorder="1" applyAlignment="1">
      <alignment horizontal="left" vertical="center" wrapText="1"/>
    </xf>
    <xf numFmtId="0" fontId="8" fillId="5" borderId="93" xfId="0" applyFont="1" applyFill="1" applyBorder="1" applyAlignment="1">
      <alignment horizontal="left" vertical="center" wrapText="1"/>
    </xf>
    <xf numFmtId="0" fontId="8" fillId="5" borderId="29" xfId="0" applyFont="1" applyFill="1" applyBorder="1" applyAlignment="1">
      <alignment horizontal="left" vertical="center" wrapText="1"/>
    </xf>
    <xf numFmtId="0" fontId="11" fillId="4" borderId="35" xfId="0" applyFont="1" applyFill="1" applyBorder="1" applyAlignment="1">
      <alignment horizontal="left" vertical="center" wrapText="1"/>
    </xf>
    <xf numFmtId="0" fontId="11" fillId="4" borderId="29" xfId="0" applyFont="1" applyFill="1" applyBorder="1" applyAlignment="1">
      <alignment horizontal="left" vertical="center" wrapText="1"/>
    </xf>
    <xf numFmtId="0" fontId="6" fillId="4" borderId="35" xfId="0" applyFont="1" applyFill="1" applyBorder="1" applyAlignment="1">
      <alignment horizontal="left" vertical="center" wrapText="1"/>
    </xf>
    <xf numFmtId="0" fontId="6" fillId="4" borderId="29" xfId="0" applyFont="1" applyFill="1" applyBorder="1" applyAlignment="1">
      <alignment horizontal="left" vertical="center" wrapText="1"/>
    </xf>
    <xf numFmtId="0" fontId="8" fillId="4" borderId="93" xfId="0" applyFont="1" applyFill="1" applyBorder="1" applyAlignment="1">
      <alignment horizontal="left" vertical="center" wrapText="1"/>
    </xf>
    <xf numFmtId="0" fontId="6" fillId="4" borderId="93" xfId="0" applyFont="1" applyFill="1" applyBorder="1" applyAlignment="1">
      <alignment horizontal="left" vertical="center" wrapText="1"/>
    </xf>
    <xf numFmtId="0" fontId="45" fillId="4" borderId="35" xfId="3" applyFill="1" applyBorder="1" applyAlignment="1">
      <alignment horizontal="left" vertical="center" wrapText="1"/>
    </xf>
    <xf numFmtId="0" fontId="45" fillId="4" borderId="29" xfId="3" applyFill="1" applyBorder="1" applyAlignment="1">
      <alignment horizontal="left" vertical="center" wrapText="1"/>
    </xf>
    <xf numFmtId="0" fontId="4" fillId="5" borderId="35" xfId="0" applyFont="1" applyFill="1" applyBorder="1" applyAlignment="1">
      <alignment horizontal="left" vertical="center" wrapText="1"/>
    </xf>
    <xf numFmtId="0" fontId="4" fillId="5" borderId="93" xfId="0" applyFont="1" applyFill="1" applyBorder="1" applyAlignment="1">
      <alignment horizontal="left" vertical="center" wrapText="1"/>
    </xf>
    <xf numFmtId="0" fontId="4" fillId="5" borderId="29" xfId="0" applyFont="1" applyFill="1" applyBorder="1" applyAlignment="1">
      <alignment horizontal="left" vertical="center" wrapText="1"/>
    </xf>
    <xf numFmtId="0" fontId="4" fillId="5" borderId="34" xfId="0" applyFont="1" applyFill="1" applyBorder="1" applyAlignment="1">
      <alignment horizontal="left" vertical="center" wrapText="1"/>
    </xf>
    <xf numFmtId="0" fontId="4" fillId="5" borderId="92" xfId="0" applyFont="1" applyFill="1" applyBorder="1" applyAlignment="1">
      <alignment horizontal="left" vertical="center" wrapText="1"/>
    </xf>
    <xf numFmtId="0" fontId="4" fillId="5" borderId="28" xfId="0" applyFont="1" applyFill="1" applyBorder="1" applyAlignment="1">
      <alignment horizontal="left" vertical="center" wrapText="1"/>
    </xf>
    <xf numFmtId="0" fontId="3" fillId="5" borderId="35" xfId="0" applyFont="1" applyFill="1" applyBorder="1" applyAlignment="1">
      <alignment horizontal="left" vertical="center" wrapText="1"/>
    </xf>
    <xf numFmtId="0" fontId="3" fillId="5" borderId="93" xfId="0" applyFont="1" applyFill="1" applyBorder="1" applyAlignment="1">
      <alignment horizontal="left" vertical="center" wrapText="1"/>
    </xf>
    <xf numFmtId="0" fontId="3" fillId="5" borderId="29" xfId="0" applyFont="1" applyFill="1" applyBorder="1" applyAlignment="1">
      <alignment horizontal="left" vertical="center" wrapText="1"/>
    </xf>
    <xf numFmtId="0" fontId="45" fillId="4" borderId="36" xfId="3" applyFill="1" applyBorder="1" applyAlignment="1">
      <alignment horizontal="left" vertical="center" wrapText="1"/>
    </xf>
    <xf numFmtId="0" fontId="45" fillId="4" borderId="30" xfId="3" applyFill="1" applyBorder="1" applyAlignment="1">
      <alignment horizontal="left" vertical="center" wrapText="1"/>
    </xf>
    <xf numFmtId="0" fontId="45" fillId="5" borderId="35" xfId="3" applyFill="1" applyBorder="1" applyAlignment="1">
      <alignment horizontal="left" vertical="center" wrapText="1"/>
    </xf>
    <xf numFmtId="0" fontId="45" fillId="5" borderId="29" xfId="3" applyFill="1" applyBorder="1" applyAlignment="1">
      <alignment horizontal="left" vertical="center" wrapText="1"/>
    </xf>
    <xf numFmtId="0" fontId="3" fillId="5" borderId="34" xfId="0" applyFont="1" applyFill="1" applyBorder="1" applyAlignment="1">
      <alignment horizontal="left" vertical="center" wrapText="1"/>
    </xf>
    <xf numFmtId="0" fontId="3" fillId="5" borderId="92" xfId="0" applyFont="1" applyFill="1" applyBorder="1" applyAlignment="1">
      <alignment horizontal="left" vertical="center" wrapText="1"/>
    </xf>
    <xf numFmtId="0" fontId="3" fillId="5" borderId="28" xfId="0" applyFont="1" applyFill="1" applyBorder="1" applyAlignment="1">
      <alignment horizontal="left" vertical="center" wrapText="1"/>
    </xf>
    <xf numFmtId="0" fontId="4" fillId="5" borderId="35" xfId="0" applyFont="1" applyFill="1" applyBorder="1" applyAlignment="1">
      <alignment horizontal="center" vertical="center" wrapText="1"/>
    </xf>
    <xf numFmtId="0" fontId="4" fillId="5" borderId="93" xfId="0" applyFont="1" applyFill="1" applyBorder="1" applyAlignment="1">
      <alignment horizontal="center" vertical="center" wrapText="1"/>
    </xf>
    <xf numFmtId="0" fontId="45" fillId="5" borderId="93" xfId="3" applyFill="1" applyBorder="1" applyAlignment="1">
      <alignment horizontal="left" vertical="center" wrapText="1"/>
    </xf>
    <xf numFmtId="0" fontId="4" fillId="5" borderId="34" xfId="0" applyFont="1" applyFill="1" applyBorder="1" applyAlignment="1">
      <alignment horizontal="center" vertical="center"/>
    </xf>
    <xf numFmtId="0" fontId="4" fillId="5" borderId="92" xfId="0" applyFont="1" applyFill="1" applyBorder="1" applyAlignment="1">
      <alignment horizontal="center" vertical="center"/>
    </xf>
    <xf numFmtId="9" fontId="0" fillId="0" borderId="85" xfId="2" applyFont="1" applyBorder="1" applyAlignment="1">
      <alignment horizontal="center" vertical="center"/>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59" xfId="0" applyBorder="1" applyAlignment="1">
      <alignment horizontal="center" vertical="center" wrapText="1"/>
    </xf>
    <xf numFmtId="0" fontId="2" fillId="2" borderId="0" xfId="4" applyFont="1" applyFill="1" applyAlignment="1">
      <alignment horizontal="center" wrapText="1"/>
    </xf>
    <xf numFmtId="0" fontId="1" fillId="0" borderId="0" xfId="4"/>
    <xf numFmtId="0" fontId="13" fillId="2" borderId="0" xfId="4" applyFont="1" applyFill="1" applyAlignment="1">
      <alignment horizontal="center" wrapText="1"/>
    </xf>
    <xf numFmtId="0" fontId="1" fillId="0" borderId="0" xfId="4" applyAlignment="1">
      <alignment horizontal="center"/>
    </xf>
    <xf numFmtId="0" fontId="2" fillId="2" borderId="6" xfId="4" applyFont="1" applyFill="1" applyBorder="1" applyAlignment="1">
      <alignment horizontal="center" wrapText="1"/>
    </xf>
    <xf numFmtId="0" fontId="14" fillId="0" borderId="7" xfId="4" applyFont="1" applyBorder="1"/>
    <xf numFmtId="0" fontId="4" fillId="3" borderId="0" xfId="0" applyFont="1" applyFill="1" applyAlignment="1">
      <alignment vertical="top" wrapText="1"/>
    </xf>
    <xf numFmtId="0" fontId="16" fillId="0" borderId="0" xfId="0" applyFont="1" applyAlignment="1">
      <alignment wrapText="1"/>
    </xf>
    <xf numFmtId="0" fontId="23" fillId="10" borderId="0" xfId="0" applyFont="1" applyFill="1" applyAlignment="1">
      <alignment horizontal="center"/>
    </xf>
    <xf numFmtId="0" fontId="24" fillId="10" borderId="0" xfId="0" applyFont="1" applyFill="1" applyAlignment="1">
      <alignment horizontal="center"/>
    </xf>
    <xf numFmtId="0" fontId="18" fillId="6" borderId="0" xfId="0" applyFont="1" applyFill="1" applyAlignment="1">
      <alignment horizontal="center"/>
    </xf>
    <xf numFmtId="0" fontId="18" fillId="7" borderId="0" xfId="0" applyFont="1" applyFill="1" applyAlignment="1">
      <alignment horizontal="center"/>
    </xf>
    <xf numFmtId="0" fontId="21" fillId="7" borderId="0" xfId="0" applyFont="1" applyFill="1" applyAlignment="1">
      <alignment horizontal="center"/>
    </xf>
    <xf numFmtId="0" fontId="23" fillId="8" borderId="0" xfId="0" applyFont="1" applyFill="1" applyAlignment="1">
      <alignment horizontal="center"/>
    </xf>
    <xf numFmtId="0" fontId="23" fillId="9" borderId="0" xfId="0" applyFont="1" applyFill="1" applyAlignment="1">
      <alignment horizontal="center"/>
    </xf>
  </cellXfs>
  <cellStyles count="5">
    <cellStyle name="Komma" xfId="1" builtinId="3"/>
    <cellStyle name="Link" xfId="3" builtinId="8"/>
    <cellStyle name="Normal 2" xfId="4" xr:uid="{FABA6A9C-4BBF-8645-899A-15B834E1EDDC}"/>
    <cellStyle name="Prozent" xfId="2" builtinId="5"/>
    <cellStyle name="Standard" xfId="0" builtinId="0"/>
  </cellStyles>
  <dxfs count="0"/>
  <tableStyles count="0" defaultTableStyle="TableStyleMedium2" defaultPivotStyle="PivotStyleLight16"/>
  <colors>
    <mruColors>
      <color rgb="FF9CA71C"/>
      <color rgb="FFC6CCA1"/>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pivotCacheDefinition" Target="pivotCache/pivotCacheDefinition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microsoft.com/office/2017/06/relationships/rdRichValue" Target="richData/rdrichvalue.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2.xml"/><Relationship Id="rId27" Type="http://schemas.microsoft.com/office/2022/10/relationships/richValueRel" Target="richData/richValueRel.xml"/><Relationship Id="rId30" Type="http://schemas.microsoft.com/office/2017/06/relationships/rdRichValueTypes" Target="richData/rdRichValueType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5.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6.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8.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9.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20.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1.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2.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3.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4.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5.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6.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7.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Employee Gender Distribution</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percentStacked"/>
        <c:varyColors val="0"/>
        <c:ser>
          <c:idx val="0"/>
          <c:order val="0"/>
          <c:tx>
            <c:strRef>
              <c:f>Dashboard!$C$3</c:f>
              <c:strCache>
                <c:ptCount val="1"/>
                <c:pt idx="0">
                  <c:v>Women</c:v>
                </c:pt>
              </c:strCache>
            </c:strRef>
          </c:tx>
          <c:spPr>
            <a:solidFill>
              <a:srgbClr val="9CA71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Dashboard!$A$4:$B$15</c:f>
              <c:multiLvlStrCache>
                <c:ptCount val="12"/>
                <c:lvl>
                  <c:pt idx="0">
                    <c:v>2022</c:v>
                  </c:pt>
                  <c:pt idx="1">
                    <c:v>2023</c:v>
                  </c:pt>
                  <c:pt idx="2">
                    <c:v>2024</c:v>
                  </c:pt>
                  <c:pt idx="3">
                    <c:v>2022</c:v>
                  </c:pt>
                  <c:pt idx="4">
                    <c:v>2023</c:v>
                  </c:pt>
                  <c:pt idx="5">
                    <c:v>2024</c:v>
                  </c:pt>
                  <c:pt idx="6">
                    <c:v>2022</c:v>
                  </c:pt>
                  <c:pt idx="7">
                    <c:v>2023</c:v>
                  </c:pt>
                  <c:pt idx="8">
                    <c:v>2024</c:v>
                  </c:pt>
                  <c:pt idx="9">
                    <c:v>2022</c:v>
                  </c:pt>
                  <c:pt idx="10">
                    <c:v>2023</c:v>
                  </c:pt>
                  <c:pt idx="11">
                    <c:v>2024</c:v>
                  </c:pt>
                </c:lvl>
                <c:lvl>
                  <c:pt idx="0">
                    <c:v>Non-Managerial Staff</c:v>
                  </c:pt>
                  <c:pt idx="3">
                    <c:v>Middle Management</c:v>
                  </c:pt>
                  <c:pt idx="6">
                    <c:v>Senior Management</c:v>
                  </c:pt>
                  <c:pt idx="9">
                    <c:v>Board Members</c:v>
                  </c:pt>
                </c:lvl>
              </c:multiLvlStrCache>
            </c:multiLvlStrRef>
          </c:cat>
          <c:val>
            <c:numRef>
              <c:f>Dashboard!$C$4:$C$15</c:f>
              <c:numCache>
                <c:formatCode>0%</c:formatCode>
                <c:ptCount val="12"/>
                <c:pt idx="0">
                  <c:v>0.5</c:v>
                </c:pt>
                <c:pt idx="1">
                  <c:v>0.5</c:v>
                </c:pt>
                <c:pt idx="2">
                  <c:v>0.4</c:v>
                </c:pt>
                <c:pt idx="3">
                  <c:v>0.33333333333333331</c:v>
                </c:pt>
                <c:pt idx="4">
                  <c:v>0.42857142857142855</c:v>
                </c:pt>
                <c:pt idx="5">
                  <c:v>0.42857142857142855</c:v>
                </c:pt>
                <c:pt idx="6">
                  <c:v>0.33333333333333331</c:v>
                </c:pt>
                <c:pt idx="7">
                  <c:v>0.33333333333333331</c:v>
                </c:pt>
                <c:pt idx="8">
                  <c:v>0.2</c:v>
                </c:pt>
                <c:pt idx="9">
                  <c:v>0.33333333333333331</c:v>
                </c:pt>
                <c:pt idx="10">
                  <c:v>0.25</c:v>
                </c:pt>
                <c:pt idx="11">
                  <c:v>0.25</c:v>
                </c:pt>
              </c:numCache>
            </c:numRef>
          </c:val>
          <c:extLst>
            <c:ext xmlns:c16="http://schemas.microsoft.com/office/drawing/2014/chart" uri="{C3380CC4-5D6E-409C-BE32-E72D297353CC}">
              <c16:uniqueId val="{00000000-4D77-43B8-B8A9-DC2B99D80E1C}"/>
            </c:ext>
          </c:extLst>
        </c:ser>
        <c:ser>
          <c:idx val="1"/>
          <c:order val="1"/>
          <c:tx>
            <c:strRef>
              <c:f>Dashboard!$D$3</c:f>
              <c:strCache>
                <c:ptCount val="1"/>
                <c:pt idx="0">
                  <c:v>Man</c:v>
                </c:pt>
              </c:strCache>
            </c:strRef>
          </c:tx>
          <c:spPr>
            <a:solidFill>
              <a:srgbClr val="C6CCA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Dashboard!$A$4:$B$15</c:f>
              <c:multiLvlStrCache>
                <c:ptCount val="12"/>
                <c:lvl>
                  <c:pt idx="0">
                    <c:v>2022</c:v>
                  </c:pt>
                  <c:pt idx="1">
                    <c:v>2023</c:v>
                  </c:pt>
                  <c:pt idx="2">
                    <c:v>2024</c:v>
                  </c:pt>
                  <c:pt idx="3">
                    <c:v>2022</c:v>
                  </c:pt>
                  <c:pt idx="4">
                    <c:v>2023</c:v>
                  </c:pt>
                  <c:pt idx="5">
                    <c:v>2024</c:v>
                  </c:pt>
                  <c:pt idx="6">
                    <c:v>2022</c:v>
                  </c:pt>
                  <c:pt idx="7">
                    <c:v>2023</c:v>
                  </c:pt>
                  <c:pt idx="8">
                    <c:v>2024</c:v>
                  </c:pt>
                  <c:pt idx="9">
                    <c:v>2022</c:v>
                  </c:pt>
                  <c:pt idx="10">
                    <c:v>2023</c:v>
                  </c:pt>
                  <c:pt idx="11">
                    <c:v>2024</c:v>
                  </c:pt>
                </c:lvl>
                <c:lvl>
                  <c:pt idx="0">
                    <c:v>Non-Managerial Staff</c:v>
                  </c:pt>
                  <c:pt idx="3">
                    <c:v>Middle Management</c:v>
                  </c:pt>
                  <c:pt idx="6">
                    <c:v>Senior Management</c:v>
                  </c:pt>
                  <c:pt idx="9">
                    <c:v>Board Members</c:v>
                  </c:pt>
                </c:lvl>
              </c:multiLvlStrCache>
            </c:multiLvlStrRef>
          </c:cat>
          <c:val>
            <c:numRef>
              <c:f>Dashboard!$D$4:$D$15</c:f>
              <c:numCache>
                <c:formatCode>0%</c:formatCode>
                <c:ptCount val="12"/>
                <c:pt idx="0">
                  <c:v>0.5</c:v>
                </c:pt>
                <c:pt idx="1">
                  <c:v>0.5</c:v>
                </c:pt>
                <c:pt idx="2">
                  <c:v>0.6</c:v>
                </c:pt>
                <c:pt idx="3">
                  <c:v>0.66666666666666663</c:v>
                </c:pt>
                <c:pt idx="4">
                  <c:v>0.5714285714285714</c:v>
                </c:pt>
                <c:pt idx="5">
                  <c:v>0.5714285714285714</c:v>
                </c:pt>
                <c:pt idx="6">
                  <c:v>0.66666666666666663</c:v>
                </c:pt>
                <c:pt idx="7">
                  <c:v>0.66666666666666663</c:v>
                </c:pt>
                <c:pt idx="8">
                  <c:v>0.8</c:v>
                </c:pt>
                <c:pt idx="9">
                  <c:v>0.66666666666666663</c:v>
                </c:pt>
                <c:pt idx="10">
                  <c:v>0.75</c:v>
                </c:pt>
                <c:pt idx="11">
                  <c:v>0.75</c:v>
                </c:pt>
              </c:numCache>
            </c:numRef>
          </c:val>
          <c:extLst>
            <c:ext xmlns:c16="http://schemas.microsoft.com/office/drawing/2014/chart" uri="{C3380CC4-5D6E-409C-BE32-E72D297353CC}">
              <c16:uniqueId val="{00000001-4D77-43B8-B8A9-DC2B99D80E1C}"/>
            </c:ext>
          </c:extLst>
        </c:ser>
        <c:dLbls>
          <c:dLblPos val="ctr"/>
          <c:showLegendKey val="0"/>
          <c:showVal val="1"/>
          <c:showCatName val="0"/>
          <c:showSerName val="0"/>
          <c:showPercent val="0"/>
          <c:showBubbleSize val="0"/>
        </c:dLbls>
        <c:gapWidth val="150"/>
        <c:overlap val="100"/>
        <c:axId val="1935930159"/>
        <c:axId val="1132136735"/>
      </c:barChart>
      <c:catAx>
        <c:axId val="1935930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2136735"/>
        <c:crosses val="autoZero"/>
        <c:auto val="1"/>
        <c:lblAlgn val="ctr"/>
        <c:lblOffset val="100"/>
        <c:noMultiLvlLbl val="0"/>
      </c:catAx>
      <c:valAx>
        <c:axId val="113213673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35930159"/>
        <c:crosses val="autoZero"/>
        <c:crossBetween val="between"/>
        <c:majorUnit val="0.25"/>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Average of Salary Ratios</a:t>
            </a:r>
            <a:r>
              <a:rPr lang="en-US" sz="1100" baseline="0"/>
              <a:t> (Women: Men)</a:t>
            </a:r>
            <a:endParaRPr lang="en-US" sz="1100"/>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Dashboard!$A$21</c:f>
              <c:strCache>
                <c:ptCount val="1"/>
                <c:pt idx="0">
                  <c:v>Average salary ratio-women: men</c:v>
                </c:pt>
              </c:strCache>
            </c:strRef>
          </c:tx>
          <c:spPr>
            <a:ln w="28575" cap="rnd">
              <a:solidFill>
                <a:srgbClr val="9CA71C"/>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Dashboard!$B$20:$D$20</c:f>
              <c:numCache>
                <c:formatCode>General</c:formatCode>
                <c:ptCount val="3"/>
                <c:pt idx="0">
                  <c:v>2022</c:v>
                </c:pt>
                <c:pt idx="1">
                  <c:v>2023</c:v>
                </c:pt>
                <c:pt idx="2">
                  <c:v>2024</c:v>
                </c:pt>
              </c:numCache>
            </c:numRef>
          </c:cat>
          <c:val>
            <c:numRef>
              <c:f>Dashboard!$B$21:$D$21</c:f>
              <c:numCache>
                <c:formatCode>0.00</c:formatCode>
                <c:ptCount val="3"/>
                <c:pt idx="0">
                  <c:v>0.59583333333333333</c:v>
                </c:pt>
                <c:pt idx="1">
                  <c:v>0.57361111111111107</c:v>
                </c:pt>
                <c:pt idx="2">
                  <c:v>0.84444444444444455</c:v>
                </c:pt>
              </c:numCache>
            </c:numRef>
          </c:val>
          <c:smooth val="0"/>
          <c:extLst>
            <c:ext xmlns:c16="http://schemas.microsoft.com/office/drawing/2014/chart" uri="{C3380CC4-5D6E-409C-BE32-E72D297353CC}">
              <c16:uniqueId val="{00000000-5960-4249-B4A4-909780338B87}"/>
            </c:ext>
          </c:extLst>
        </c:ser>
        <c:dLbls>
          <c:showLegendKey val="0"/>
          <c:showVal val="0"/>
          <c:showCatName val="0"/>
          <c:showSerName val="0"/>
          <c:showPercent val="0"/>
          <c:showBubbleSize val="0"/>
        </c:dLbls>
        <c:smooth val="0"/>
        <c:axId val="1869536303"/>
        <c:axId val="1869540623"/>
      </c:lineChart>
      <c:catAx>
        <c:axId val="18695363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69540623"/>
        <c:crosses val="autoZero"/>
        <c:auto val="1"/>
        <c:lblAlgn val="ctr"/>
        <c:lblOffset val="100"/>
        <c:noMultiLvlLbl val="0"/>
      </c:catAx>
      <c:valAx>
        <c:axId val="1869540623"/>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69536303"/>
        <c:crosses val="autoZero"/>
        <c:crossBetween val="between"/>
        <c:majorUnit val="0.2"/>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Percentage of Employees Promoted by Gender</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Dashboard!$C$33</c:f>
              <c:strCache>
                <c:ptCount val="1"/>
                <c:pt idx="0">
                  <c:v>Woman</c:v>
                </c:pt>
              </c:strCache>
            </c:strRef>
          </c:tx>
          <c:spPr>
            <a:solidFill>
              <a:srgbClr val="9CA71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Dashboard!$A$34:$B$39</c:f>
              <c:multiLvlStrCache>
                <c:ptCount val="6"/>
                <c:lvl>
                  <c:pt idx="0">
                    <c:v>2022</c:v>
                  </c:pt>
                  <c:pt idx="1">
                    <c:v>2023</c:v>
                  </c:pt>
                  <c:pt idx="2">
                    <c:v>2024</c:v>
                  </c:pt>
                  <c:pt idx="3">
                    <c:v>2022</c:v>
                  </c:pt>
                  <c:pt idx="4">
                    <c:v>2023</c:v>
                  </c:pt>
                  <c:pt idx="5">
                    <c:v>2024</c:v>
                  </c:pt>
                </c:lvl>
                <c:lvl>
                  <c:pt idx="0">
                    <c:v>Promoted to middle management</c:v>
                  </c:pt>
                  <c:pt idx="3">
                    <c:v>Promoted to senior management</c:v>
                  </c:pt>
                </c:lvl>
              </c:multiLvlStrCache>
            </c:multiLvlStrRef>
          </c:cat>
          <c:val>
            <c:numRef>
              <c:f>Dashboard!$C$34:$C$39</c:f>
              <c:numCache>
                <c:formatCode>0%</c:formatCode>
                <c:ptCount val="6"/>
                <c:pt idx="0">
                  <c:v>0.5</c:v>
                </c:pt>
                <c:pt idx="1">
                  <c:v>0.5</c:v>
                </c:pt>
                <c:pt idx="2">
                  <c:v>0.5</c:v>
                </c:pt>
                <c:pt idx="3">
                  <c:v>0.5</c:v>
                </c:pt>
                <c:pt idx="4">
                  <c:v>0.8</c:v>
                </c:pt>
                <c:pt idx="5">
                  <c:v>0</c:v>
                </c:pt>
              </c:numCache>
            </c:numRef>
          </c:val>
          <c:extLst>
            <c:ext xmlns:c16="http://schemas.microsoft.com/office/drawing/2014/chart" uri="{C3380CC4-5D6E-409C-BE32-E72D297353CC}">
              <c16:uniqueId val="{00000000-EF4A-4041-A741-6BEFE4899F57}"/>
            </c:ext>
          </c:extLst>
        </c:ser>
        <c:ser>
          <c:idx val="1"/>
          <c:order val="1"/>
          <c:tx>
            <c:strRef>
              <c:f>Dashboard!$D$33</c:f>
              <c:strCache>
                <c:ptCount val="1"/>
                <c:pt idx="0">
                  <c:v>Man</c:v>
                </c:pt>
              </c:strCache>
            </c:strRef>
          </c:tx>
          <c:spPr>
            <a:solidFill>
              <a:srgbClr val="C6CCA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Dashboard!$A$34:$B$39</c:f>
              <c:multiLvlStrCache>
                <c:ptCount val="6"/>
                <c:lvl>
                  <c:pt idx="0">
                    <c:v>2022</c:v>
                  </c:pt>
                  <c:pt idx="1">
                    <c:v>2023</c:v>
                  </c:pt>
                  <c:pt idx="2">
                    <c:v>2024</c:v>
                  </c:pt>
                  <c:pt idx="3">
                    <c:v>2022</c:v>
                  </c:pt>
                  <c:pt idx="4">
                    <c:v>2023</c:v>
                  </c:pt>
                  <c:pt idx="5">
                    <c:v>2024</c:v>
                  </c:pt>
                </c:lvl>
                <c:lvl>
                  <c:pt idx="0">
                    <c:v>Promoted to middle management</c:v>
                  </c:pt>
                  <c:pt idx="3">
                    <c:v>Promoted to senior management</c:v>
                  </c:pt>
                </c:lvl>
              </c:multiLvlStrCache>
            </c:multiLvlStrRef>
          </c:cat>
          <c:val>
            <c:numRef>
              <c:f>Dashboard!$D$34:$D$39</c:f>
              <c:numCache>
                <c:formatCode>0%</c:formatCode>
                <c:ptCount val="6"/>
                <c:pt idx="0">
                  <c:v>0.25</c:v>
                </c:pt>
                <c:pt idx="1">
                  <c:v>0</c:v>
                </c:pt>
                <c:pt idx="2">
                  <c:v>0.25</c:v>
                </c:pt>
                <c:pt idx="3">
                  <c:v>0.25</c:v>
                </c:pt>
                <c:pt idx="4">
                  <c:v>0</c:v>
                </c:pt>
                <c:pt idx="5">
                  <c:v>0.25</c:v>
                </c:pt>
              </c:numCache>
            </c:numRef>
          </c:val>
          <c:extLst>
            <c:ext xmlns:c16="http://schemas.microsoft.com/office/drawing/2014/chart" uri="{C3380CC4-5D6E-409C-BE32-E72D297353CC}">
              <c16:uniqueId val="{00000001-EF4A-4041-A741-6BEFE4899F57}"/>
            </c:ext>
          </c:extLst>
        </c:ser>
        <c:dLbls>
          <c:dLblPos val="outEnd"/>
          <c:showLegendKey val="0"/>
          <c:showVal val="1"/>
          <c:showCatName val="0"/>
          <c:showSerName val="0"/>
          <c:showPercent val="0"/>
          <c:showBubbleSize val="0"/>
        </c:dLbls>
        <c:gapWidth val="219"/>
        <c:overlap val="-27"/>
        <c:axId val="2085250735"/>
        <c:axId val="2085252655"/>
      </c:barChart>
      <c:catAx>
        <c:axId val="2085250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5252655"/>
        <c:crosses val="autoZero"/>
        <c:auto val="1"/>
        <c:lblAlgn val="ctr"/>
        <c:lblOffset val="100"/>
        <c:noMultiLvlLbl val="0"/>
      </c:catAx>
      <c:valAx>
        <c:axId val="2085252655"/>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5250735"/>
        <c:crosses val="autoZero"/>
        <c:crossBetween val="between"/>
        <c:majorUnit val="0.25"/>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Percentage of employees</a:t>
            </a:r>
            <a:r>
              <a:rPr lang="en-US" sz="1100" baseline="0"/>
              <a:t> who worked for at least 12 months after parental leaves</a:t>
            </a:r>
            <a:endParaRPr lang="en-US" sz="1100"/>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Dashboard!$A$50</c:f>
              <c:strCache>
                <c:ptCount val="1"/>
                <c:pt idx="0">
                  <c:v>Women</c:v>
                </c:pt>
              </c:strCache>
            </c:strRef>
          </c:tx>
          <c:spPr>
            <a:solidFill>
              <a:srgbClr val="9CA71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Dashboard!$B$49:$D$49</c15:sqref>
                  </c15:fullRef>
                </c:ext>
              </c:extLst>
              <c:f>Dashboard!$C$49:$D$49</c:f>
              <c:numCache>
                <c:formatCode>General</c:formatCode>
                <c:ptCount val="2"/>
                <c:pt idx="0">
                  <c:v>2023</c:v>
                </c:pt>
                <c:pt idx="1">
                  <c:v>2024</c:v>
                </c:pt>
              </c:numCache>
            </c:numRef>
          </c:cat>
          <c:val>
            <c:numRef>
              <c:extLst>
                <c:ext xmlns:c15="http://schemas.microsoft.com/office/drawing/2012/chart" uri="{02D57815-91ED-43cb-92C2-25804820EDAC}">
                  <c15:fullRef>
                    <c15:sqref>Dashboard!$B$50:$D$50</c15:sqref>
                  </c15:fullRef>
                </c:ext>
              </c:extLst>
              <c:f>Dashboard!$C$50:$D$50</c:f>
              <c:numCache>
                <c:formatCode>0%</c:formatCode>
                <c:ptCount val="2"/>
                <c:pt idx="0">
                  <c:v>0.6</c:v>
                </c:pt>
                <c:pt idx="1">
                  <c:v>0.6</c:v>
                </c:pt>
              </c:numCache>
            </c:numRef>
          </c:val>
          <c:extLst>
            <c:ext xmlns:c16="http://schemas.microsoft.com/office/drawing/2014/chart" uri="{C3380CC4-5D6E-409C-BE32-E72D297353CC}">
              <c16:uniqueId val="{00000000-84DA-4013-9297-76A6B91DEC8F}"/>
            </c:ext>
          </c:extLst>
        </c:ser>
        <c:ser>
          <c:idx val="1"/>
          <c:order val="1"/>
          <c:tx>
            <c:strRef>
              <c:f>Dashboard!$A$51</c:f>
              <c:strCache>
                <c:ptCount val="1"/>
                <c:pt idx="0">
                  <c:v>Men</c:v>
                </c:pt>
              </c:strCache>
            </c:strRef>
          </c:tx>
          <c:spPr>
            <a:solidFill>
              <a:srgbClr val="C6CCA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xmlns:c15="http://schemas.microsoft.com/office/drawing/2012/chart" uri="{02D57815-91ED-43cb-92C2-25804820EDAC}">
                  <c15:fullRef>
                    <c15:sqref>Dashboard!$B$49:$D$49</c15:sqref>
                  </c15:fullRef>
                </c:ext>
              </c:extLst>
              <c:f>Dashboard!$C$49:$D$49</c:f>
              <c:numCache>
                <c:formatCode>General</c:formatCode>
                <c:ptCount val="2"/>
                <c:pt idx="0">
                  <c:v>2023</c:v>
                </c:pt>
                <c:pt idx="1">
                  <c:v>2024</c:v>
                </c:pt>
              </c:numCache>
            </c:numRef>
          </c:cat>
          <c:val>
            <c:numRef>
              <c:extLst>
                <c:ext xmlns:c15="http://schemas.microsoft.com/office/drawing/2012/chart" uri="{02D57815-91ED-43cb-92C2-25804820EDAC}">
                  <c15:fullRef>
                    <c15:sqref>Dashboard!$B$51:$D$51</c15:sqref>
                  </c15:fullRef>
                </c:ext>
              </c:extLst>
              <c:f>Dashboard!$C$51:$D$51</c:f>
              <c:numCache>
                <c:formatCode>0%</c:formatCode>
                <c:ptCount val="2"/>
                <c:pt idx="0">
                  <c:v>0.33333333333333331</c:v>
                </c:pt>
                <c:pt idx="1">
                  <c:v>0.66666666666666663</c:v>
                </c:pt>
              </c:numCache>
            </c:numRef>
          </c:val>
          <c:extLst>
            <c:ext xmlns:c16="http://schemas.microsoft.com/office/drawing/2014/chart" uri="{C3380CC4-5D6E-409C-BE32-E72D297353CC}">
              <c16:uniqueId val="{00000001-84DA-4013-9297-76A6B91DEC8F}"/>
            </c:ext>
          </c:extLst>
        </c:ser>
        <c:dLbls>
          <c:dLblPos val="outEnd"/>
          <c:showLegendKey val="0"/>
          <c:showVal val="1"/>
          <c:showCatName val="0"/>
          <c:showSerName val="0"/>
          <c:showPercent val="0"/>
          <c:showBubbleSize val="0"/>
        </c:dLbls>
        <c:gapWidth val="219"/>
        <c:overlap val="-27"/>
        <c:axId val="1647912079"/>
        <c:axId val="1647901039"/>
      </c:barChart>
      <c:catAx>
        <c:axId val="16479120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47901039"/>
        <c:crosses val="autoZero"/>
        <c:auto val="1"/>
        <c:lblAlgn val="ctr"/>
        <c:lblOffset val="100"/>
        <c:noMultiLvlLbl val="0"/>
      </c:catAx>
      <c:valAx>
        <c:axId val="1647901039"/>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47912079"/>
        <c:crosses val="autoZero"/>
        <c:crossBetween val="between"/>
        <c:majorUnit val="0.25"/>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Percentage of women borrowers by loan type</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rgbClr val="9CA71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Dashboard!$A$75:$B$80</c:f>
              <c:multiLvlStrCache>
                <c:ptCount val="6"/>
                <c:lvl>
                  <c:pt idx="0">
                    <c:v>2022</c:v>
                  </c:pt>
                  <c:pt idx="1">
                    <c:v>2023</c:v>
                  </c:pt>
                  <c:pt idx="2">
                    <c:v>2024</c:v>
                  </c:pt>
                  <c:pt idx="3">
                    <c:v>2022</c:v>
                  </c:pt>
                  <c:pt idx="4">
                    <c:v>2023</c:v>
                  </c:pt>
                  <c:pt idx="5">
                    <c:v>2024</c:v>
                  </c:pt>
                </c:lvl>
                <c:lvl>
                  <c:pt idx="0">
                    <c:v>Business</c:v>
                  </c:pt>
                  <c:pt idx="3">
                    <c:v>Individual</c:v>
                  </c:pt>
                </c:lvl>
              </c:multiLvlStrCache>
            </c:multiLvlStrRef>
          </c:cat>
          <c:val>
            <c:numRef>
              <c:f>Dashboard!$C$75:$C$80</c:f>
              <c:numCache>
                <c:formatCode>0%</c:formatCode>
                <c:ptCount val="6"/>
                <c:pt idx="0">
                  <c:v>0.33333333333333331</c:v>
                </c:pt>
                <c:pt idx="1">
                  <c:v>0.4</c:v>
                </c:pt>
                <c:pt idx="2">
                  <c:v>0.4</c:v>
                </c:pt>
                <c:pt idx="3">
                  <c:v>0.33333333333333331</c:v>
                </c:pt>
                <c:pt idx="4">
                  <c:v>0.31818181818181818</c:v>
                </c:pt>
                <c:pt idx="5">
                  <c:v>0.34285714285714286</c:v>
                </c:pt>
              </c:numCache>
            </c:numRef>
          </c:val>
          <c:extLst>
            <c:ext xmlns:c16="http://schemas.microsoft.com/office/drawing/2014/chart" uri="{C3380CC4-5D6E-409C-BE32-E72D297353CC}">
              <c16:uniqueId val="{00000000-7EB9-43AE-8047-0CDB873B7863}"/>
            </c:ext>
          </c:extLst>
        </c:ser>
        <c:dLbls>
          <c:dLblPos val="outEnd"/>
          <c:showLegendKey val="0"/>
          <c:showVal val="1"/>
          <c:showCatName val="0"/>
          <c:showSerName val="0"/>
          <c:showPercent val="0"/>
          <c:showBubbleSize val="0"/>
        </c:dLbls>
        <c:gapWidth val="219"/>
        <c:overlap val="-27"/>
        <c:axId val="1327608095"/>
        <c:axId val="1327605215"/>
      </c:barChart>
      <c:catAx>
        <c:axId val="13276080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7605215"/>
        <c:crosses val="autoZero"/>
        <c:auto val="1"/>
        <c:lblAlgn val="ctr"/>
        <c:lblOffset val="100"/>
        <c:noMultiLvlLbl val="0"/>
      </c:catAx>
      <c:valAx>
        <c:axId val="13276052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7608095"/>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Difference in</a:t>
            </a:r>
            <a:r>
              <a:rPr lang="en-US" sz="1100" baseline="0"/>
              <a:t> average </a:t>
            </a:r>
            <a:r>
              <a:rPr lang="en-US" sz="1100"/>
              <a:t>interest rate </a:t>
            </a:r>
          </a:p>
          <a:p>
            <a:pPr>
              <a:defRPr sz="1100"/>
            </a:pPr>
            <a:r>
              <a:rPr lang="en-US" sz="1100"/>
              <a:t>(women-men)</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Dashboard!$A$92</c:f>
              <c:strCache>
                <c:ptCount val="1"/>
                <c:pt idx="0">
                  <c:v>Difference in interest rate</c:v>
                </c:pt>
              </c:strCache>
            </c:strRef>
          </c:tx>
          <c:spPr>
            <a:ln w="28575" cap="rnd">
              <a:solidFill>
                <a:srgbClr val="9CA71C"/>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Dashboard!$B$91:$D$91</c:f>
              <c:numCache>
                <c:formatCode>General</c:formatCode>
                <c:ptCount val="3"/>
                <c:pt idx="0">
                  <c:v>2022</c:v>
                </c:pt>
                <c:pt idx="1">
                  <c:v>2023</c:v>
                </c:pt>
                <c:pt idx="2">
                  <c:v>2024</c:v>
                </c:pt>
              </c:numCache>
            </c:numRef>
          </c:cat>
          <c:val>
            <c:numRef>
              <c:f>Dashboard!$B$92:$D$92</c:f>
              <c:numCache>
                <c:formatCode>General</c:formatCode>
                <c:ptCount val="3"/>
                <c:pt idx="0">
                  <c:v>2</c:v>
                </c:pt>
                <c:pt idx="1">
                  <c:v>2</c:v>
                </c:pt>
                <c:pt idx="2">
                  <c:v>1.5</c:v>
                </c:pt>
              </c:numCache>
            </c:numRef>
          </c:val>
          <c:smooth val="0"/>
          <c:extLst>
            <c:ext xmlns:c16="http://schemas.microsoft.com/office/drawing/2014/chart" uri="{C3380CC4-5D6E-409C-BE32-E72D297353CC}">
              <c16:uniqueId val="{00000000-202C-4EF0-ACDB-486C43F49343}"/>
            </c:ext>
          </c:extLst>
        </c:ser>
        <c:dLbls>
          <c:dLblPos val="t"/>
          <c:showLegendKey val="0"/>
          <c:showVal val="1"/>
          <c:showCatName val="0"/>
          <c:showSerName val="0"/>
          <c:showPercent val="0"/>
          <c:showBubbleSize val="0"/>
        </c:dLbls>
        <c:smooth val="0"/>
        <c:axId val="2069166911"/>
        <c:axId val="2069163071"/>
      </c:lineChart>
      <c:catAx>
        <c:axId val="20691669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9163071"/>
        <c:crosses val="autoZero"/>
        <c:auto val="1"/>
        <c:lblAlgn val="ctr"/>
        <c:lblOffset val="100"/>
        <c:noMultiLvlLbl val="0"/>
      </c:catAx>
      <c:valAx>
        <c:axId val="206916307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6916691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Difference in average loan size </a:t>
            </a:r>
          </a:p>
          <a:p>
            <a:pPr>
              <a:defRPr sz="1100"/>
            </a:pPr>
            <a:r>
              <a:rPr lang="en-US" sz="1100"/>
              <a:t>(women-men)</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Dashboard!$A$103</c:f>
              <c:strCache>
                <c:ptCount val="1"/>
                <c:pt idx="0">
                  <c:v>Difference in loan size</c:v>
                </c:pt>
              </c:strCache>
            </c:strRef>
          </c:tx>
          <c:spPr>
            <a:ln w="28575" cap="rnd">
              <a:solidFill>
                <a:srgbClr val="9CA71C"/>
              </a:solidFill>
              <a:round/>
            </a:ln>
            <a:effectLst/>
          </c:spPr>
          <c:marker>
            <c:symbol val="none"/>
          </c:marker>
          <c:cat>
            <c:numRef>
              <c:f>Dashboard!$B$102:$D$102</c:f>
              <c:numCache>
                <c:formatCode>General</c:formatCode>
                <c:ptCount val="3"/>
                <c:pt idx="0">
                  <c:v>2022</c:v>
                </c:pt>
                <c:pt idx="1">
                  <c:v>2023</c:v>
                </c:pt>
                <c:pt idx="2">
                  <c:v>2024</c:v>
                </c:pt>
              </c:numCache>
            </c:numRef>
          </c:cat>
          <c:val>
            <c:numRef>
              <c:f>Dashboard!$B$103:$D$103</c:f>
              <c:numCache>
                <c:formatCode>General</c:formatCode>
                <c:ptCount val="3"/>
                <c:pt idx="0">
                  <c:v>2000</c:v>
                </c:pt>
                <c:pt idx="1">
                  <c:v>-1000</c:v>
                </c:pt>
                <c:pt idx="2">
                  <c:v>0</c:v>
                </c:pt>
              </c:numCache>
            </c:numRef>
          </c:val>
          <c:smooth val="0"/>
          <c:extLst>
            <c:ext xmlns:c16="http://schemas.microsoft.com/office/drawing/2014/chart" uri="{C3380CC4-5D6E-409C-BE32-E72D297353CC}">
              <c16:uniqueId val="{00000000-3F40-4C03-B57D-AED567B2BF26}"/>
            </c:ext>
          </c:extLst>
        </c:ser>
        <c:dLbls>
          <c:showLegendKey val="0"/>
          <c:showVal val="0"/>
          <c:showCatName val="0"/>
          <c:showSerName val="0"/>
          <c:showPercent val="0"/>
          <c:showBubbleSize val="0"/>
        </c:dLbls>
        <c:smooth val="0"/>
        <c:axId val="1647906319"/>
        <c:axId val="1647923599"/>
      </c:lineChart>
      <c:catAx>
        <c:axId val="16479063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47923599"/>
        <c:crosses val="autoZero"/>
        <c:auto val="1"/>
        <c:lblAlgn val="ctr"/>
        <c:lblOffset val="100"/>
        <c:noMultiLvlLbl val="0"/>
      </c:catAx>
      <c:valAx>
        <c:axId val="164792359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47906319"/>
        <c:crosses val="autoZero"/>
        <c:crossBetween val="between"/>
        <c:majorUnit val="100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Ratio of average hours of training</a:t>
            </a:r>
            <a:r>
              <a:rPr lang="en-US" sz="1100" baseline="0"/>
              <a:t> (</a:t>
            </a:r>
            <a:r>
              <a:rPr lang="en-US" sz="1100"/>
              <a:t>women: men)</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Dashboard!$A$65</c:f>
              <c:strCache>
                <c:ptCount val="1"/>
                <c:pt idx="0">
                  <c:v>Ratio of hours of training of women: men</c:v>
                </c:pt>
              </c:strCache>
            </c:strRef>
          </c:tx>
          <c:spPr>
            <a:ln w="28575" cap="rnd">
              <a:solidFill>
                <a:srgbClr val="9CA71C"/>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Dashboard!$B$64:$D$64</c:f>
              <c:numCache>
                <c:formatCode>General</c:formatCode>
                <c:ptCount val="3"/>
                <c:pt idx="0">
                  <c:v>2022</c:v>
                </c:pt>
                <c:pt idx="1">
                  <c:v>2023</c:v>
                </c:pt>
                <c:pt idx="2">
                  <c:v>2024</c:v>
                </c:pt>
              </c:numCache>
            </c:numRef>
          </c:cat>
          <c:val>
            <c:numRef>
              <c:f>Dashboard!$B$65:$D$65</c:f>
              <c:numCache>
                <c:formatCode>General</c:formatCode>
                <c:ptCount val="3"/>
                <c:pt idx="0" formatCode="0.0">
                  <c:v>0.75892857142857151</c:v>
                </c:pt>
                <c:pt idx="1">
                  <c:v>0.86363636363636365</c:v>
                </c:pt>
                <c:pt idx="2">
                  <c:v>1.6666666666666667</c:v>
                </c:pt>
              </c:numCache>
            </c:numRef>
          </c:val>
          <c:smooth val="0"/>
          <c:extLst>
            <c:ext xmlns:c16="http://schemas.microsoft.com/office/drawing/2014/chart" uri="{C3380CC4-5D6E-409C-BE32-E72D297353CC}">
              <c16:uniqueId val="{00000000-FFE1-43DE-A7CB-A2FD5E36D815}"/>
            </c:ext>
          </c:extLst>
        </c:ser>
        <c:dLbls>
          <c:dLblPos val="t"/>
          <c:showLegendKey val="0"/>
          <c:showVal val="1"/>
          <c:showCatName val="0"/>
          <c:showSerName val="0"/>
          <c:showPercent val="0"/>
          <c:showBubbleSize val="0"/>
        </c:dLbls>
        <c:smooth val="0"/>
        <c:axId val="1490231519"/>
        <c:axId val="1490244959"/>
      </c:lineChart>
      <c:catAx>
        <c:axId val="14902315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0244959"/>
        <c:crosses val="autoZero"/>
        <c:auto val="1"/>
        <c:lblAlgn val="ctr"/>
        <c:lblOffset val="100"/>
        <c:noMultiLvlLbl val="0"/>
      </c:catAx>
      <c:valAx>
        <c:axId val="149024495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0231519"/>
        <c:crosses val="autoZero"/>
        <c:crossBetween val="between"/>
        <c:majorUnit val="0.5"/>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8280818022747157"/>
          <c:y val="0"/>
          <c:w val="0.48663626421697287"/>
          <c:h val="1"/>
        </c:manualLayout>
      </c:layout>
      <c:barChart>
        <c:barDir val="bar"/>
        <c:grouping val="percentStacked"/>
        <c:varyColors val="0"/>
        <c:ser>
          <c:idx val="0"/>
          <c:order val="0"/>
          <c:tx>
            <c:strRef>
              <c:f>'Progress Tracker'!$B$2</c:f>
              <c:strCache>
                <c:ptCount val="1"/>
                <c:pt idx="0">
                  <c:v>Progress as on December 2024</c:v>
                </c:pt>
              </c:strCache>
            </c:strRef>
          </c:tx>
          <c:spPr>
            <a:solidFill>
              <a:srgbClr val="9CA71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Tracker'!$A$3</c:f>
              <c:strCache>
                <c:ptCount val="1"/>
                <c:pt idx="0">
                  <c:v>Percentage of women employees(Target 40%)</c:v>
                </c:pt>
              </c:strCache>
            </c:strRef>
          </c:cat>
          <c:val>
            <c:numRef>
              <c:f>'Progress Tracker'!$B$3</c:f>
              <c:numCache>
                <c:formatCode>0%</c:formatCode>
                <c:ptCount val="1"/>
                <c:pt idx="0">
                  <c:v>0.77586206896551724</c:v>
                </c:pt>
              </c:numCache>
            </c:numRef>
          </c:val>
          <c:extLst>
            <c:ext xmlns:c16="http://schemas.microsoft.com/office/drawing/2014/chart" uri="{C3380CC4-5D6E-409C-BE32-E72D297353CC}">
              <c16:uniqueId val="{00000000-FEE9-445B-8928-09D3F188F6A1}"/>
            </c:ext>
          </c:extLst>
        </c:ser>
        <c:ser>
          <c:idx val="1"/>
          <c:order val="1"/>
          <c:tx>
            <c:strRef>
              <c:f>'Progress Tracker'!$C$2</c:f>
              <c:strCache>
                <c:ptCount val="1"/>
                <c:pt idx="0">
                  <c:v>Remaining</c:v>
                </c:pt>
              </c:strCache>
            </c:strRef>
          </c:tx>
          <c:spPr>
            <a:solidFill>
              <a:srgbClr val="C6CCA1"/>
            </a:solidFill>
            <a:ln>
              <a:noFill/>
            </a:ln>
            <a:effectLst/>
          </c:spPr>
          <c:invertIfNegative val="0"/>
          <c:dLbls>
            <c:delete val="1"/>
          </c:dLbls>
          <c:cat>
            <c:strRef>
              <c:f>'Progress Tracker'!$A$3</c:f>
              <c:strCache>
                <c:ptCount val="1"/>
                <c:pt idx="0">
                  <c:v>Percentage of women employees(Target 40%)</c:v>
                </c:pt>
              </c:strCache>
            </c:strRef>
          </c:cat>
          <c:val>
            <c:numRef>
              <c:f>'Progress Tracker'!$C$3</c:f>
              <c:numCache>
                <c:formatCode>0%</c:formatCode>
                <c:ptCount val="1"/>
                <c:pt idx="0">
                  <c:v>0.22413793103448276</c:v>
                </c:pt>
              </c:numCache>
            </c:numRef>
          </c:val>
          <c:extLst>
            <c:ext xmlns:c16="http://schemas.microsoft.com/office/drawing/2014/chart" uri="{C3380CC4-5D6E-409C-BE32-E72D297353CC}">
              <c16:uniqueId val="{00000001-FEE9-445B-8928-09D3F188F6A1}"/>
            </c:ext>
          </c:extLst>
        </c:ser>
        <c:dLbls>
          <c:dLblPos val="ctr"/>
          <c:showLegendKey val="0"/>
          <c:showVal val="1"/>
          <c:showCatName val="0"/>
          <c:showSerName val="0"/>
          <c:showPercent val="0"/>
          <c:showBubbleSize val="0"/>
        </c:dLbls>
        <c:gapWidth val="150"/>
        <c:overlap val="100"/>
        <c:axId val="1907413007"/>
        <c:axId val="1907413487"/>
      </c:barChart>
      <c:catAx>
        <c:axId val="19074130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07413487"/>
        <c:crosses val="autoZero"/>
        <c:auto val="1"/>
        <c:lblAlgn val="ctr"/>
        <c:lblOffset val="100"/>
        <c:noMultiLvlLbl val="0"/>
      </c:catAx>
      <c:valAx>
        <c:axId val="1907413487"/>
        <c:scaling>
          <c:orientation val="minMax"/>
        </c:scaling>
        <c:delete val="1"/>
        <c:axPos val="b"/>
        <c:numFmt formatCode="0%" sourceLinked="1"/>
        <c:majorTickMark val="none"/>
        <c:minorTickMark val="none"/>
        <c:tickLblPos val="nextTo"/>
        <c:crossAx val="190741300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8140551181102365"/>
          <c:y val="0"/>
          <c:w val="0.4880389326334208"/>
          <c:h val="1"/>
        </c:manualLayout>
      </c:layout>
      <c:barChart>
        <c:barDir val="bar"/>
        <c:grouping val="percentStacked"/>
        <c:varyColors val="0"/>
        <c:ser>
          <c:idx val="0"/>
          <c:order val="0"/>
          <c:tx>
            <c:strRef>
              <c:f>'Progress Tracker'!$B$2</c:f>
              <c:strCache>
                <c:ptCount val="1"/>
                <c:pt idx="0">
                  <c:v>Progress as on December 2024</c:v>
                </c:pt>
              </c:strCache>
            </c:strRef>
          </c:tx>
          <c:spPr>
            <a:solidFill>
              <a:srgbClr val="9CA71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'Progress Tracker'!$A$3:$A$4</c15:sqref>
                  </c15:fullRef>
                </c:ext>
              </c:extLst>
              <c:f>'Progress Tracker'!$A$4</c:f>
              <c:strCache>
                <c:ptCount val="1"/>
                <c:pt idx="0">
                  <c:v>Percentage of women managers(Target 30%)</c:v>
                </c:pt>
              </c:strCache>
            </c:strRef>
          </c:cat>
          <c:val>
            <c:numRef>
              <c:extLst>
                <c:ext xmlns:c15="http://schemas.microsoft.com/office/drawing/2012/chart" uri="{02D57815-91ED-43cb-92C2-25804820EDAC}">
                  <c15:fullRef>
                    <c15:sqref>'Progress Tracker'!$B$3:$B$4</c15:sqref>
                  </c15:fullRef>
                </c:ext>
              </c:extLst>
              <c:f>'Progress Tracker'!$B$4</c:f>
              <c:numCache>
                <c:formatCode>0%</c:formatCode>
                <c:ptCount val="1"/>
                <c:pt idx="0">
                  <c:v>0.55555555555555558</c:v>
                </c:pt>
              </c:numCache>
            </c:numRef>
          </c:val>
          <c:extLst>
            <c:ext xmlns:c16="http://schemas.microsoft.com/office/drawing/2014/chart" uri="{C3380CC4-5D6E-409C-BE32-E72D297353CC}">
              <c16:uniqueId val="{00000000-FB82-4CE6-AC95-D13961E2550E}"/>
            </c:ext>
          </c:extLst>
        </c:ser>
        <c:ser>
          <c:idx val="1"/>
          <c:order val="1"/>
          <c:tx>
            <c:strRef>
              <c:f>'Progress Tracker'!$C$2</c:f>
              <c:strCache>
                <c:ptCount val="1"/>
                <c:pt idx="0">
                  <c:v>Remaining</c:v>
                </c:pt>
              </c:strCache>
            </c:strRef>
          </c:tx>
          <c:spPr>
            <a:solidFill>
              <a:srgbClr val="C6CCA1"/>
            </a:solidFill>
            <a:ln>
              <a:noFill/>
            </a:ln>
            <a:effectLst/>
          </c:spPr>
          <c:invertIfNegative val="0"/>
          <c:cat>
            <c:strRef>
              <c:extLst>
                <c:ext xmlns:c15="http://schemas.microsoft.com/office/drawing/2012/chart" uri="{02D57815-91ED-43cb-92C2-25804820EDAC}">
                  <c15:fullRef>
                    <c15:sqref>'Progress Tracker'!$A$3:$A$4</c15:sqref>
                  </c15:fullRef>
                </c:ext>
              </c:extLst>
              <c:f>'Progress Tracker'!$A$4</c:f>
              <c:strCache>
                <c:ptCount val="1"/>
                <c:pt idx="0">
                  <c:v>Percentage of women managers(Target 30%)</c:v>
                </c:pt>
              </c:strCache>
            </c:strRef>
          </c:cat>
          <c:val>
            <c:numRef>
              <c:extLst>
                <c:ext xmlns:c15="http://schemas.microsoft.com/office/drawing/2012/chart" uri="{02D57815-91ED-43cb-92C2-25804820EDAC}">
                  <c15:fullRef>
                    <c15:sqref>'Progress Tracker'!$C$3:$C$4</c15:sqref>
                  </c15:fullRef>
                </c:ext>
              </c:extLst>
              <c:f>'Progress Tracker'!$C$4</c:f>
              <c:numCache>
                <c:formatCode>0%</c:formatCode>
                <c:ptCount val="1"/>
                <c:pt idx="0">
                  <c:v>0.44444444444444442</c:v>
                </c:pt>
              </c:numCache>
            </c:numRef>
          </c:val>
          <c:extLst>
            <c:ext xmlns:c16="http://schemas.microsoft.com/office/drawing/2014/chart" uri="{C3380CC4-5D6E-409C-BE32-E72D297353CC}">
              <c16:uniqueId val="{00000001-FB82-4CE6-AC95-D13961E2550E}"/>
            </c:ext>
          </c:extLst>
        </c:ser>
        <c:dLbls>
          <c:showLegendKey val="0"/>
          <c:showVal val="0"/>
          <c:showCatName val="0"/>
          <c:showSerName val="0"/>
          <c:showPercent val="0"/>
          <c:showBubbleSize val="0"/>
        </c:dLbls>
        <c:gapWidth val="150"/>
        <c:overlap val="100"/>
        <c:axId val="1652831535"/>
        <c:axId val="1652837775"/>
      </c:barChart>
      <c:catAx>
        <c:axId val="165283153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652837775"/>
        <c:crosses val="autoZero"/>
        <c:auto val="1"/>
        <c:lblAlgn val="ctr"/>
        <c:lblOffset val="100"/>
        <c:noMultiLvlLbl val="0"/>
      </c:catAx>
      <c:valAx>
        <c:axId val="1652837775"/>
        <c:scaling>
          <c:orientation val="minMax"/>
        </c:scaling>
        <c:delete val="1"/>
        <c:axPos val="b"/>
        <c:numFmt formatCode="0%" sourceLinked="1"/>
        <c:majorTickMark val="none"/>
        <c:minorTickMark val="none"/>
        <c:tickLblPos val="nextTo"/>
        <c:crossAx val="165283153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8232035511690069"/>
          <c:y val="0"/>
          <c:w val="0.49110974031471877"/>
          <c:h val="1"/>
        </c:manualLayout>
      </c:layout>
      <c:barChart>
        <c:barDir val="bar"/>
        <c:grouping val="percentStacked"/>
        <c:varyColors val="0"/>
        <c:ser>
          <c:idx val="0"/>
          <c:order val="0"/>
          <c:tx>
            <c:strRef>
              <c:f>'Progress Tracker'!$B$2</c:f>
              <c:strCache>
                <c:ptCount val="1"/>
                <c:pt idx="0">
                  <c:v>Progress as on December 2024</c:v>
                </c:pt>
              </c:strCache>
            </c:strRef>
          </c:tx>
          <c:spPr>
            <a:solidFill>
              <a:srgbClr val="9CA71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'Progress Tracker'!$A$3:$A$5</c15:sqref>
                  </c15:fullRef>
                </c:ext>
              </c:extLst>
              <c:f>'Progress Tracker'!$A$5</c:f>
              <c:strCache>
                <c:ptCount val="1"/>
                <c:pt idx="0">
                  <c:v>Percentage of women on Board(Target 30%)</c:v>
                </c:pt>
              </c:strCache>
            </c:strRef>
          </c:cat>
          <c:val>
            <c:numRef>
              <c:extLst>
                <c:ext xmlns:c15="http://schemas.microsoft.com/office/drawing/2012/chart" uri="{02D57815-91ED-43cb-92C2-25804820EDAC}">
                  <c15:fullRef>
                    <c15:sqref>'Progress Tracker'!$B$3:$B$5</c15:sqref>
                  </c15:fullRef>
                </c:ext>
              </c:extLst>
              <c:f>'Progress Tracker'!$B$5</c:f>
              <c:numCache>
                <c:formatCode>0%</c:formatCode>
                <c:ptCount val="1"/>
                <c:pt idx="0">
                  <c:v>0.83333333333333337</c:v>
                </c:pt>
              </c:numCache>
            </c:numRef>
          </c:val>
          <c:extLst>
            <c:ext xmlns:c16="http://schemas.microsoft.com/office/drawing/2014/chart" uri="{C3380CC4-5D6E-409C-BE32-E72D297353CC}">
              <c16:uniqueId val="{00000000-2671-4640-80DF-9E9A4FAC1CC9}"/>
            </c:ext>
          </c:extLst>
        </c:ser>
        <c:ser>
          <c:idx val="1"/>
          <c:order val="1"/>
          <c:tx>
            <c:strRef>
              <c:f>'Progress Tracker'!$C$2</c:f>
              <c:strCache>
                <c:ptCount val="1"/>
                <c:pt idx="0">
                  <c:v>Remaining</c:v>
                </c:pt>
              </c:strCache>
            </c:strRef>
          </c:tx>
          <c:spPr>
            <a:solidFill>
              <a:srgbClr val="C6CCA1"/>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2-2671-4640-80DF-9E9A4FAC1CC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extLst>
          </c:dLbls>
          <c:cat>
            <c:strRef>
              <c:extLst>
                <c:ext xmlns:c15="http://schemas.microsoft.com/office/drawing/2012/chart" uri="{02D57815-91ED-43cb-92C2-25804820EDAC}">
                  <c15:fullRef>
                    <c15:sqref>'Progress Tracker'!$A$3:$A$5</c15:sqref>
                  </c15:fullRef>
                </c:ext>
              </c:extLst>
              <c:f>'Progress Tracker'!$A$5</c:f>
              <c:strCache>
                <c:ptCount val="1"/>
                <c:pt idx="0">
                  <c:v>Percentage of women on Board(Target 30%)</c:v>
                </c:pt>
              </c:strCache>
            </c:strRef>
          </c:cat>
          <c:val>
            <c:numRef>
              <c:extLst>
                <c:ext xmlns:c15="http://schemas.microsoft.com/office/drawing/2012/chart" uri="{02D57815-91ED-43cb-92C2-25804820EDAC}">
                  <c15:fullRef>
                    <c15:sqref>'Progress Tracker'!$C$3:$C$5</c15:sqref>
                  </c15:fullRef>
                </c:ext>
              </c:extLst>
              <c:f>'Progress Tracker'!$C$5</c:f>
              <c:numCache>
                <c:formatCode>0%</c:formatCode>
                <c:ptCount val="1"/>
                <c:pt idx="0">
                  <c:v>0.16666666666666663</c:v>
                </c:pt>
              </c:numCache>
            </c:numRef>
          </c:val>
          <c:extLst>
            <c:ext xmlns:c16="http://schemas.microsoft.com/office/drawing/2014/chart" uri="{C3380CC4-5D6E-409C-BE32-E72D297353CC}">
              <c16:uniqueId val="{00000001-2671-4640-80DF-9E9A4FAC1CC9}"/>
            </c:ext>
          </c:extLst>
        </c:ser>
        <c:dLbls>
          <c:showLegendKey val="0"/>
          <c:showVal val="1"/>
          <c:showCatName val="0"/>
          <c:showSerName val="0"/>
          <c:showPercent val="0"/>
          <c:showBubbleSize val="0"/>
        </c:dLbls>
        <c:gapWidth val="150"/>
        <c:overlap val="100"/>
        <c:axId val="46762927"/>
        <c:axId val="46764367"/>
      </c:barChart>
      <c:catAx>
        <c:axId val="4676292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6764367"/>
        <c:crosses val="autoZero"/>
        <c:auto val="1"/>
        <c:lblAlgn val="ctr"/>
        <c:lblOffset val="100"/>
        <c:noMultiLvlLbl val="0"/>
      </c:catAx>
      <c:valAx>
        <c:axId val="46764367"/>
        <c:scaling>
          <c:orientation val="minMax"/>
          <c:min val="0"/>
        </c:scaling>
        <c:delete val="1"/>
        <c:axPos val="b"/>
        <c:numFmt formatCode="0%" sourceLinked="1"/>
        <c:majorTickMark val="none"/>
        <c:minorTickMark val="none"/>
        <c:tickLblPos val="nextTo"/>
        <c:crossAx val="467629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8521367573096413"/>
          <c:y val="0.10256410256410256"/>
          <c:w val="0.48096618591392448"/>
          <c:h val="0.76068376068376065"/>
        </c:manualLayout>
      </c:layout>
      <c:barChart>
        <c:barDir val="bar"/>
        <c:grouping val="percentStacked"/>
        <c:varyColors val="0"/>
        <c:ser>
          <c:idx val="0"/>
          <c:order val="0"/>
          <c:tx>
            <c:strRef>
              <c:f>'Progress Tracker'!$B$2</c:f>
              <c:strCache>
                <c:ptCount val="1"/>
                <c:pt idx="0">
                  <c:v>Progress as on December 2024</c:v>
                </c:pt>
              </c:strCache>
            </c:strRef>
          </c:tx>
          <c:spPr>
            <a:solidFill>
              <a:srgbClr val="9CA71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'Progress Tracker'!$A$3:$A$6</c15:sqref>
                  </c15:fullRef>
                </c:ext>
              </c:extLst>
              <c:f>'Progress Tracker'!$A$6</c:f>
              <c:strCache>
                <c:ptCount val="1"/>
                <c:pt idx="0">
                  <c:v>Percentage of women on executive teams(Target 30%)</c:v>
                </c:pt>
              </c:strCache>
            </c:strRef>
          </c:cat>
          <c:val>
            <c:numRef>
              <c:extLst>
                <c:ext xmlns:c15="http://schemas.microsoft.com/office/drawing/2012/chart" uri="{02D57815-91ED-43cb-92C2-25804820EDAC}">
                  <c15:fullRef>
                    <c15:sqref>'Progress Tracker'!$B$3:$B$6</c15:sqref>
                  </c15:fullRef>
                </c:ext>
              </c:extLst>
              <c:f>'Progress Tracker'!$B$6</c:f>
              <c:numCache>
                <c:formatCode>0%</c:formatCode>
                <c:ptCount val="1"/>
                <c:pt idx="0">
                  <c:v>1</c:v>
                </c:pt>
              </c:numCache>
            </c:numRef>
          </c:val>
          <c:extLst>
            <c:ext xmlns:c16="http://schemas.microsoft.com/office/drawing/2014/chart" uri="{C3380CC4-5D6E-409C-BE32-E72D297353CC}">
              <c16:uniqueId val="{00000000-4C53-45A5-A0FA-879896E9B6F5}"/>
            </c:ext>
          </c:extLst>
        </c:ser>
        <c:ser>
          <c:idx val="1"/>
          <c:order val="1"/>
          <c:tx>
            <c:strRef>
              <c:f>'Progress Tracker'!$C$2</c:f>
              <c:strCache>
                <c:ptCount val="1"/>
                <c:pt idx="0">
                  <c:v>Remaining</c:v>
                </c:pt>
              </c:strCache>
            </c:strRef>
          </c:tx>
          <c:spPr>
            <a:solidFill>
              <a:schemeClr val="accent2"/>
            </a:solidFill>
            <a:ln>
              <a:noFill/>
            </a:ln>
            <a:effectLst/>
          </c:spPr>
          <c:invertIfNegative val="0"/>
          <c:cat>
            <c:strRef>
              <c:extLst>
                <c:ext xmlns:c15="http://schemas.microsoft.com/office/drawing/2012/chart" uri="{02D57815-91ED-43cb-92C2-25804820EDAC}">
                  <c15:fullRef>
                    <c15:sqref>'Progress Tracker'!$A$3:$A$6</c15:sqref>
                  </c15:fullRef>
                </c:ext>
              </c:extLst>
              <c:f>'Progress Tracker'!$A$6</c:f>
              <c:strCache>
                <c:ptCount val="1"/>
                <c:pt idx="0">
                  <c:v>Percentage of women on executive teams(Target 30%)</c:v>
                </c:pt>
              </c:strCache>
            </c:strRef>
          </c:cat>
          <c:val>
            <c:numRef>
              <c:extLst>
                <c:ext xmlns:c15="http://schemas.microsoft.com/office/drawing/2012/chart" uri="{02D57815-91ED-43cb-92C2-25804820EDAC}">
                  <c15:fullRef>
                    <c15:sqref>'Progress Tracker'!$C$3:$C$6</c15:sqref>
                  </c15:fullRef>
                </c:ext>
              </c:extLst>
              <c:f>'Progress Tracker'!$C$6</c:f>
              <c:numCache>
                <c:formatCode>0%</c:formatCode>
                <c:ptCount val="1"/>
                <c:pt idx="0">
                  <c:v>0</c:v>
                </c:pt>
              </c:numCache>
            </c:numRef>
          </c:val>
          <c:extLst>
            <c:ext xmlns:c16="http://schemas.microsoft.com/office/drawing/2014/chart" uri="{C3380CC4-5D6E-409C-BE32-E72D297353CC}">
              <c16:uniqueId val="{00000001-4C53-45A5-A0FA-879896E9B6F5}"/>
            </c:ext>
          </c:extLst>
        </c:ser>
        <c:dLbls>
          <c:showLegendKey val="0"/>
          <c:showVal val="0"/>
          <c:showCatName val="0"/>
          <c:showSerName val="0"/>
          <c:showPercent val="0"/>
          <c:showBubbleSize val="0"/>
        </c:dLbls>
        <c:gapWidth val="150"/>
        <c:overlap val="100"/>
        <c:axId val="1647853519"/>
        <c:axId val="1647862639"/>
      </c:barChart>
      <c:catAx>
        <c:axId val="164785351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1647862639"/>
        <c:crosses val="autoZero"/>
        <c:auto val="1"/>
        <c:lblAlgn val="ctr"/>
        <c:lblOffset val="100"/>
        <c:noMultiLvlLbl val="0"/>
      </c:catAx>
      <c:valAx>
        <c:axId val="1647862639"/>
        <c:scaling>
          <c:orientation val="minMax"/>
        </c:scaling>
        <c:delete val="1"/>
        <c:axPos val="b"/>
        <c:numFmt formatCode="0%" sourceLinked="1"/>
        <c:majorTickMark val="none"/>
        <c:minorTickMark val="none"/>
        <c:tickLblPos val="nextTo"/>
        <c:crossAx val="16478535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8452252843394578"/>
          <c:y val="8.4210526315789472E-2"/>
          <c:w val="0.48492191601049867"/>
          <c:h val="0.91578947368421049"/>
        </c:manualLayout>
      </c:layout>
      <c:barChart>
        <c:barDir val="bar"/>
        <c:grouping val="percentStacked"/>
        <c:varyColors val="0"/>
        <c:ser>
          <c:idx val="0"/>
          <c:order val="0"/>
          <c:tx>
            <c:strRef>
              <c:f>'Progress Tracker'!$B$2</c:f>
              <c:strCache>
                <c:ptCount val="1"/>
                <c:pt idx="0">
                  <c:v>Progress as on December 2024</c:v>
                </c:pt>
              </c:strCache>
            </c:strRef>
          </c:tx>
          <c:spPr>
            <a:solidFill>
              <a:srgbClr val="9CA71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'Progress Tracker'!$A$3:$A$7</c15:sqref>
                  </c15:fullRef>
                </c:ext>
              </c:extLst>
              <c:f>'Progress Tracker'!$A$7</c:f>
              <c:strCache>
                <c:ptCount val="1"/>
                <c:pt idx="0">
                  <c:v>Percentage of women in senior management(Target 30%)</c:v>
                </c:pt>
              </c:strCache>
            </c:strRef>
          </c:cat>
          <c:val>
            <c:numRef>
              <c:extLst>
                <c:ext xmlns:c15="http://schemas.microsoft.com/office/drawing/2012/chart" uri="{02D57815-91ED-43cb-92C2-25804820EDAC}">
                  <c15:fullRef>
                    <c15:sqref>'Progress Tracker'!$B$3:$B$7</c15:sqref>
                  </c15:fullRef>
                </c:ext>
              </c:extLst>
              <c:f>'Progress Tracker'!$B$7</c:f>
              <c:numCache>
                <c:formatCode>0%</c:formatCode>
                <c:ptCount val="1"/>
                <c:pt idx="0">
                  <c:v>0.66666666666666674</c:v>
                </c:pt>
              </c:numCache>
            </c:numRef>
          </c:val>
          <c:extLst>
            <c:ext xmlns:c16="http://schemas.microsoft.com/office/drawing/2014/chart" uri="{C3380CC4-5D6E-409C-BE32-E72D297353CC}">
              <c16:uniqueId val="{00000000-76BA-4DE1-931A-8C96D34B6E9C}"/>
            </c:ext>
          </c:extLst>
        </c:ser>
        <c:ser>
          <c:idx val="1"/>
          <c:order val="1"/>
          <c:tx>
            <c:strRef>
              <c:f>'Progress Tracker'!$C$2</c:f>
              <c:strCache>
                <c:ptCount val="1"/>
                <c:pt idx="0">
                  <c:v>Remaining</c:v>
                </c:pt>
              </c:strCache>
            </c:strRef>
          </c:tx>
          <c:spPr>
            <a:solidFill>
              <a:srgbClr val="C6CCA1"/>
            </a:solidFill>
            <a:ln>
              <a:noFill/>
            </a:ln>
            <a:effectLst/>
          </c:spPr>
          <c:invertIfNegative val="0"/>
          <c:cat>
            <c:strRef>
              <c:extLst>
                <c:ext xmlns:c15="http://schemas.microsoft.com/office/drawing/2012/chart" uri="{02D57815-91ED-43cb-92C2-25804820EDAC}">
                  <c15:fullRef>
                    <c15:sqref>'Progress Tracker'!$A$3:$A$7</c15:sqref>
                  </c15:fullRef>
                </c:ext>
              </c:extLst>
              <c:f>'Progress Tracker'!$A$7</c:f>
              <c:strCache>
                <c:ptCount val="1"/>
                <c:pt idx="0">
                  <c:v>Percentage of women in senior management(Target 30%)</c:v>
                </c:pt>
              </c:strCache>
            </c:strRef>
          </c:cat>
          <c:val>
            <c:numRef>
              <c:extLst>
                <c:ext xmlns:c15="http://schemas.microsoft.com/office/drawing/2012/chart" uri="{02D57815-91ED-43cb-92C2-25804820EDAC}">
                  <c15:fullRef>
                    <c15:sqref>'Progress Tracker'!$C$3:$C$7</c15:sqref>
                  </c15:fullRef>
                </c:ext>
              </c:extLst>
              <c:f>'Progress Tracker'!$C$7</c:f>
              <c:numCache>
                <c:formatCode>0%</c:formatCode>
                <c:ptCount val="1"/>
                <c:pt idx="0">
                  <c:v>0.33333333333333326</c:v>
                </c:pt>
              </c:numCache>
            </c:numRef>
          </c:val>
          <c:extLst>
            <c:ext xmlns:c16="http://schemas.microsoft.com/office/drawing/2014/chart" uri="{C3380CC4-5D6E-409C-BE32-E72D297353CC}">
              <c16:uniqueId val="{00000001-76BA-4DE1-931A-8C96D34B6E9C}"/>
            </c:ext>
          </c:extLst>
        </c:ser>
        <c:dLbls>
          <c:showLegendKey val="0"/>
          <c:showVal val="0"/>
          <c:showCatName val="0"/>
          <c:showSerName val="0"/>
          <c:showPercent val="0"/>
          <c:showBubbleSize val="0"/>
        </c:dLbls>
        <c:gapWidth val="150"/>
        <c:overlap val="100"/>
        <c:axId val="1307057727"/>
        <c:axId val="1307058207"/>
      </c:barChart>
      <c:catAx>
        <c:axId val="130705772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1307058207"/>
        <c:crosses val="autoZero"/>
        <c:auto val="1"/>
        <c:lblAlgn val="ctr"/>
        <c:lblOffset val="100"/>
        <c:noMultiLvlLbl val="0"/>
      </c:catAx>
      <c:valAx>
        <c:axId val="1307058207"/>
        <c:scaling>
          <c:orientation val="minMax"/>
        </c:scaling>
        <c:delete val="1"/>
        <c:axPos val="b"/>
        <c:numFmt formatCode="0%" sourceLinked="1"/>
        <c:majorTickMark val="none"/>
        <c:minorTickMark val="none"/>
        <c:tickLblPos val="nextTo"/>
        <c:crossAx val="130705772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8984173769722639"/>
          <c:y val="4.3010752688172046E-2"/>
          <c:w val="0.47654481692462236"/>
          <c:h val="0.956989247311828"/>
        </c:manualLayout>
      </c:layout>
      <c:barChart>
        <c:barDir val="bar"/>
        <c:grouping val="percentStacked"/>
        <c:varyColors val="0"/>
        <c:ser>
          <c:idx val="2"/>
          <c:order val="0"/>
          <c:tx>
            <c:strRef>
              <c:f>'Progress Tracker'!$B$2</c:f>
              <c:strCache>
                <c:ptCount val="1"/>
                <c:pt idx="0">
                  <c:v>Progress as on December 2024</c:v>
                </c:pt>
              </c:strCache>
            </c:strRef>
          </c:tx>
          <c:spPr>
            <a:solidFill>
              <a:srgbClr val="9CA71C"/>
            </a:solidFill>
          </c:spPr>
          <c:invertIfNegative val="0"/>
          <c:dLbls>
            <c:spPr>
              <a:noFill/>
              <a:ln>
                <a:noFill/>
              </a:ln>
              <a:effectLst/>
            </c:spPr>
            <c:txPr>
              <a:bodyPr wrap="square" lIns="38100" tIns="19050" rIns="38100" bIns="19050" anchor="ctr" anchorCtr="0">
                <a:spAutoFit/>
              </a:bodyPr>
              <a:lstStyle/>
              <a:p>
                <a:pPr algn="ctr">
                  <a:defRPr lang="en-US" sz="6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'Progress Tracker'!$A$3:$A$8</c:f>
              <c:strCache>
                <c:ptCount val="6"/>
                <c:pt idx="0">
                  <c:v>Percentage of women employees(Target 40%)</c:v>
                </c:pt>
                <c:pt idx="1">
                  <c:v>Percentage of women managers(Target 30%)</c:v>
                </c:pt>
                <c:pt idx="2">
                  <c:v>Percentage of women on Board(Target 30%)</c:v>
                </c:pt>
                <c:pt idx="3">
                  <c:v>Percentage of women on executive teams(Target 30%)</c:v>
                </c:pt>
                <c:pt idx="4">
                  <c:v>Percentage of women in senior management(Target 30%)</c:v>
                </c:pt>
                <c:pt idx="5">
                  <c:v>Percentage of women in middle management(Target 30%)</c:v>
                </c:pt>
              </c:strCache>
            </c:strRef>
          </c:cat>
          <c:val>
            <c:numRef>
              <c:f>'Progress Tracker'!$B$3:$B$8</c:f>
              <c:numCache>
                <c:formatCode>0%</c:formatCode>
                <c:ptCount val="6"/>
                <c:pt idx="0">
                  <c:v>0.77586206896551724</c:v>
                </c:pt>
                <c:pt idx="1">
                  <c:v>0.55555555555555558</c:v>
                </c:pt>
                <c:pt idx="2">
                  <c:v>0.83333333333333337</c:v>
                </c:pt>
                <c:pt idx="3">
                  <c:v>1</c:v>
                </c:pt>
                <c:pt idx="4">
                  <c:v>0.66666666666666674</c:v>
                </c:pt>
                <c:pt idx="5">
                  <c:v>1</c:v>
                </c:pt>
              </c:numCache>
            </c:numRef>
          </c:val>
          <c:extLst>
            <c:ext xmlns:c16="http://schemas.microsoft.com/office/drawing/2014/chart" uri="{C3380CC4-5D6E-409C-BE32-E72D297353CC}">
              <c16:uniqueId val="{00000006-10B0-42E4-A4F2-7270A93F0F25}"/>
            </c:ext>
          </c:extLst>
        </c:ser>
        <c:ser>
          <c:idx val="3"/>
          <c:order val="1"/>
          <c:tx>
            <c:strRef>
              <c:f>'Progress Tracker'!$C$2</c:f>
              <c:strCache>
                <c:ptCount val="1"/>
                <c:pt idx="0">
                  <c:v>Remaining</c:v>
                </c:pt>
              </c:strCache>
            </c:strRef>
          </c:tx>
          <c:spPr>
            <a:solidFill>
              <a:srgbClr val="C6CCA1"/>
            </a:solidFill>
          </c:spPr>
          <c:invertIfNegative val="0"/>
          <c:dLbls>
            <c:dLbl>
              <c:idx val="5"/>
              <c:delete val="1"/>
              <c:extLst>
                <c:ext xmlns:c15="http://schemas.microsoft.com/office/drawing/2012/chart" uri="{CE6537A1-D6FC-4f65-9D91-7224C49458BB}"/>
                <c:ext xmlns:c16="http://schemas.microsoft.com/office/drawing/2014/chart" uri="{C3380CC4-5D6E-409C-BE32-E72D297353CC}">
                  <c16:uniqueId val="{00000001-B75F-49D2-916D-4DA93F4705A9}"/>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'Progress Tracker'!$A$3:$A$8</c:f>
              <c:strCache>
                <c:ptCount val="6"/>
                <c:pt idx="0">
                  <c:v>Percentage of women employees(Target 40%)</c:v>
                </c:pt>
                <c:pt idx="1">
                  <c:v>Percentage of women managers(Target 30%)</c:v>
                </c:pt>
                <c:pt idx="2">
                  <c:v>Percentage of women on Board(Target 30%)</c:v>
                </c:pt>
                <c:pt idx="3">
                  <c:v>Percentage of women on executive teams(Target 30%)</c:v>
                </c:pt>
                <c:pt idx="4">
                  <c:v>Percentage of women in senior management(Target 30%)</c:v>
                </c:pt>
                <c:pt idx="5">
                  <c:v>Percentage of women in middle management(Target 30%)</c:v>
                </c:pt>
              </c:strCache>
            </c:strRef>
          </c:cat>
          <c:val>
            <c:numRef>
              <c:f>'Progress Tracker'!$C$3:$C$8</c:f>
              <c:numCache>
                <c:formatCode>0%</c:formatCode>
                <c:ptCount val="6"/>
                <c:pt idx="0">
                  <c:v>0.22413793103448276</c:v>
                </c:pt>
                <c:pt idx="1">
                  <c:v>0.44444444444444442</c:v>
                </c:pt>
                <c:pt idx="2">
                  <c:v>0.16666666666666663</c:v>
                </c:pt>
                <c:pt idx="3">
                  <c:v>0</c:v>
                </c:pt>
                <c:pt idx="4">
                  <c:v>0.33333333333333326</c:v>
                </c:pt>
                <c:pt idx="5">
                  <c:v>0</c:v>
                </c:pt>
              </c:numCache>
            </c:numRef>
          </c:val>
          <c:extLst>
            <c:ext xmlns:c16="http://schemas.microsoft.com/office/drawing/2014/chart" uri="{C3380CC4-5D6E-409C-BE32-E72D297353CC}">
              <c16:uniqueId val="{00000007-10B0-42E4-A4F2-7270A93F0F25}"/>
            </c:ext>
          </c:extLst>
        </c:ser>
        <c:dLbls>
          <c:showLegendKey val="0"/>
          <c:showVal val="1"/>
          <c:showCatName val="0"/>
          <c:showSerName val="0"/>
          <c:showPercent val="0"/>
          <c:showBubbleSize val="0"/>
        </c:dLbls>
        <c:gapWidth val="150"/>
        <c:overlap val="100"/>
        <c:axId val="1907415407"/>
        <c:axId val="1907409647"/>
        <c:extLst>
          <c:ext xmlns:c15="http://schemas.microsoft.com/office/drawing/2012/chart" uri="{02D57815-91ED-43cb-92C2-25804820EDAC}">
            <c15:filteredBarSeries>
              <c15:ser>
                <c:idx val="0"/>
                <c:order val="2"/>
                <c:tx>
                  <c:strRef>
                    <c:extLst>
                      <c:ext uri="{02D57815-91ED-43cb-92C2-25804820EDAC}">
                        <c15:formulaRef>
                          <c15:sqref>'Progress Tracker'!$B$2</c15:sqref>
                        </c15:formulaRef>
                      </c:ext>
                    </c:extLst>
                    <c:strCache>
                      <c:ptCount val="1"/>
                      <c:pt idx="0">
                        <c:v>Progress as on December 2024</c:v>
                      </c:pt>
                    </c:strCache>
                  </c:strRef>
                </c:tx>
                <c:spPr>
                  <a:solidFill>
                    <a:srgbClr val="9CA71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1"/>
                  <c:showPercent val="0"/>
                  <c:showBubbleSize val="0"/>
                  <c:showLeaderLines val="0"/>
                  <c:extLst>
                    <c:ext uri="{CE6537A1-D6FC-4f65-9D91-7224C49458BB}">
                      <c15:showLeaderLines val="0"/>
                    </c:ext>
                  </c:extLst>
                </c:dLbls>
                <c:cat>
                  <c:strRef>
                    <c:extLst>
                      <c:ext uri="{02D57815-91ED-43cb-92C2-25804820EDAC}">
                        <c15:formulaRef>
                          <c15:sqref>'Progress Tracker'!$A$8</c15:sqref>
                        </c15:formulaRef>
                      </c:ext>
                    </c:extLst>
                    <c:strCache>
                      <c:ptCount val="1"/>
                      <c:pt idx="0">
                        <c:v>Percentage of women in middle management(Target 30%)</c:v>
                      </c:pt>
                    </c:strCache>
                  </c:strRef>
                </c:cat>
                <c:val>
                  <c:numRef>
                    <c:extLst>
                      <c:ext uri="{02D57815-91ED-43cb-92C2-25804820EDAC}">
                        <c15:formulaRef>
                          <c15:sqref>'Progress Tracker'!$B$8</c15:sqref>
                        </c15:formulaRef>
                      </c:ext>
                    </c:extLst>
                    <c:numCache>
                      <c:formatCode>0%</c:formatCode>
                      <c:ptCount val="1"/>
                      <c:pt idx="0">
                        <c:v>1</c:v>
                      </c:pt>
                    </c:numCache>
                  </c:numRef>
                </c:val>
                <c:extLst>
                  <c:ext xmlns:c16="http://schemas.microsoft.com/office/drawing/2014/chart" uri="{C3380CC4-5D6E-409C-BE32-E72D297353CC}">
                    <c16:uniqueId val="{00000003-10B0-42E4-A4F2-7270A93F0F25}"/>
                  </c:ext>
                </c:extLst>
              </c15:ser>
            </c15:filteredBarSeries>
            <c15:filteredBarSeries>
              <c15:ser>
                <c:idx val="1"/>
                <c:order val="3"/>
                <c:tx>
                  <c:strRef>
                    <c:extLst xmlns:c15="http://schemas.microsoft.com/office/drawing/2012/chart">
                      <c:ext xmlns:c15="http://schemas.microsoft.com/office/drawing/2012/chart" uri="{02D57815-91ED-43cb-92C2-25804820EDAC}">
                        <c15:formulaRef>
                          <c15:sqref>'Progress Tracker'!$C$2</c15:sqref>
                        </c15:formulaRef>
                      </c:ext>
                    </c:extLst>
                    <c:strCache>
                      <c:ptCount val="1"/>
                      <c:pt idx="0">
                        <c:v>Remaining</c:v>
                      </c:pt>
                    </c:strCache>
                  </c:strRef>
                </c:tx>
                <c:spPr>
                  <a:solidFill>
                    <a:srgbClr val="C6CCA1"/>
                  </a:solidFill>
                  <a:ln>
                    <a:noFill/>
                  </a:ln>
                  <a:effectLst/>
                </c:spPr>
                <c:invertIfNegative val="0"/>
                <c:dLbls>
                  <c:spPr>
                    <a:noFill/>
                    <a:ln>
                      <a:noFill/>
                    </a:ln>
                    <a:effectLst/>
                  </c:sp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ext>
                  </c:extLst>
                </c:dLbls>
                <c:cat>
                  <c:strRef>
                    <c:extLst xmlns:c15="http://schemas.microsoft.com/office/drawing/2012/chart">
                      <c:ext xmlns:c15="http://schemas.microsoft.com/office/drawing/2012/chart" uri="{02D57815-91ED-43cb-92C2-25804820EDAC}">
                        <c15:formulaRef>
                          <c15:sqref>'Progress Tracker'!$A$8</c15:sqref>
                        </c15:formulaRef>
                      </c:ext>
                    </c:extLst>
                    <c:strCache>
                      <c:ptCount val="1"/>
                      <c:pt idx="0">
                        <c:v>Percentage of women in middle management(Target 30%)</c:v>
                      </c:pt>
                    </c:strCache>
                  </c:strRef>
                </c:cat>
                <c:val>
                  <c:numRef>
                    <c:extLst xmlns:c15="http://schemas.microsoft.com/office/drawing/2012/chart">
                      <c:ext xmlns:c15="http://schemas.microsoft.com/office/drawing/2012/chart" uri="{02D57815-91ED-43cb-92C2-25804820EDAC}">
                        <c15:formulaRef>
                          <c15:sqref>'Progress Tracker'!$C$8</c15:sqref>
                        </c15:formulaRef>
                      </c:ext>
                    </c:extLst>
                    <c:numCache>
                      <c:formatCode>0%</c:formatCode>
                      <c:ptCount val="1"/>
                      <c:pt idx="0">
                        <c:v>0</c:v>
                      </c:pt>
                    </c:numCache>
                  </c:numRef>
                </c:val>
                <c:extLst xmlns:c15="http://schemas.microsoft.com/office/drawing/2012/chart">
                  <c:ext xmlns:c16="http://schemas.microsoft.com/office/drawing/2014/chart" uri="{C3380CC4-5D6E-409C-BE32-E72D297353CC}">
                    <c16:uniqueId val="{00000005-10B0-42E4-A4F2-7270A93F0F25}"/>
                  </c:ext>
                </c:extLst>
              </c15:ser>
            </c15:filteredBarSeries>
          </c:ext>
        </c:extLst>
      </c:barChart>
      <c:catAx>
        <c:axId val="19074154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1907409647"/>
        <c:crosses val="autoZero"/>
        <c:auto val="1"/>
        <c:lblAlgn val="ctr"/>
        <c:lblOffset val="100"/>
        <c:noMultiLvlLbl val="0"/>
      </c:catAx>
      <c:valAx>
        <c:axId val="1907409647"/>
        <c:scaling>
          <c:orientation val="minMax"/>
        </c:scaling>
        <c:delete val="1"/>
        <c:axPos val="b"/>
        <c:numFmt formatCode="0%" sourceLinked="1"/>
        <c:majorTickMark val="none"/>
        <c:minorTickMark val="none"/>
        <c:tickLblPos val="nextTo"/>
        <c:crossAx val="1907415407"/>
        <c:crosses val="autoZero"/>
        <c:crossBetween val="between"/>
      </c:valAx>
    </c:plotArea>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8667658700275312"/>
          <c:y val="3.5714285714285712E-2"/>
          <c:w val="0.47965853158944266"/>
          <c:h val="0.9285714285714286"/>
        </c:manualLayout>
      </c:layout>
      <c:barChart>
        <c:barDir val="bar"/>
        <c:grouping val="percentStacked"/>
        <c:varyColors val="0"/>
        <c:ser>
          <c:idx val="0"/>
          <c:order val="0"/>
          <c:tx>
            <c:strRef>
              <c:f>'Progress Tracker'!$B$2</c:f>
              <c:strCache>
                <c:ptCount val="1"/>
                <c:pt idx="0">
                  <c:v>Progress as on December 2024</c:v>
                </c:pt>
              </c:strCache>
            </c:strRef>
          </c:tx>
          <c:spPr>
            <a:solidFill>
              <a:srgbClr val="9CA71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'Progress Tracker'!$A$3:$A$9</c15:sqref>
                  </c15:fullRef>
                </c:ext>
              </c:extLst>
              <c:f>'Progress Tracker'!$A$9</c:f>
              <c:strCache>
                <c:ptCount val="1"/>
                <c:pt idx="0">
                  <c:v>Percentage of women in non-managerial staff(Target 30%)</c:v>
                </c:pt>
              </c:strCache>
            </c:strRef>
          </c:cat>
          <c:val>
            <c:numRef>
              <c:extLst>
                <c:ext xmlns:c15="http://schemas.microsoft.com/office/drawing/2012/chart" uri="{02D57815-91ED-43cb-92C2-25804820EDAC}">
                  <c15:fullRef>
                    <c15:sqref>'Progress Tracker'!$B$3:$B$9</c15:sqref>
                  </c15:fullRef>
                </c:ext>
              </c:extLst>
              <c:f>'Progress Tracker'!$B$9</c:f>
              <c:numCache>
                <c:formatCode>0%</c:formatCode>
                <c:ptCount val="1"/>
                <c:pt idx="0">
                  <c:v>1</c:v>
                </c:pt>
              </c:numCache>
            </c:numRef>
          </c:val>
          <c:extLst>
            <c:ext xmlns:c16="http://schemas.microsoft.com/office/drawing/2014/chart" uri="{C3380CC4-5D6E-409C-BE32-E72D297353CC}">
              <c16:uniqueId val="{00000000-5093-4B78-BB46-FA34878A9535}"/>
            </c:ext>
          </c:extLst>
        </c:ser>
        <c:ser>
          <c:idx val="1"/>
          <c:order val="1"/>
          <c:tx>
            <c:strRef>
              <c:f>'Progress Tracker'!$C$2</c:f>
              <c:strCache>
                <c:ptCount val="1"/>
                <c:pt idx="0">
                  <c:v>Remaining</c:v>
                </c:pt>
              </c:strCache>
            </c:strRef>
          </c:tx>
          <c:spPr>
            <a:solidFill>
              <a:srgbClr val="C6CCA1"/>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2-5093-4B78-BB46-FA34878A953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extLst>
          </c:dLbls>
          <c:cat>
            <c:strRef>
              <c:extLst>
                <c:ext xmlns:c15="http://schemas.microsoft.com/office/drawing/2012/chart" uri="{02D57815-91ED-43cb-92C2-25804820EDAC}">
                  <c15:fullRef>
                    <c15:sqref>'Progress Tracker'!$A$3:$A$9</c15:sqref>
                  </c15:fullRef>
                </c:ext>
              </c:extLst>
              <c:f>'Progress Tracker'!$A$9</c:f>
              <c:strCache>
                <c:ptCount val="1"/>
                <c:pt idx="0">
                  <c:v>Percentage of women in non-managerial staff(Target 30%)</c:v>
                </c:pt>
              </c:strCache>
            </c:strRef>
          </c:cat>
          <c:val>
            <c:numRef>
              <c:extLst>
                <c:ext xmlns:c15="http://schemas.microsoft.com/office/drawing/2012/chart" uri="{02D57815-91ED-43cb-92C2-25804820EDAC}">
                  <c15:fullRef>
                    <c15:sqref>'Progress Tracker'!$C$3:$C$9</c15:sqref>
                  </c15:fullRef>
                </c:ext>
              </c:extLst>
              <c:f>'Progress Tracker'!$C$9</c:f>
              <c:numCache>
                <c:formatCode>0%</c:formatCode>
                <c:ptCount val="1"/>
                <c:pt idx="0">
                  <c:v>0</c:v>
                </c:pt>
              </c:numCache>
            </c:numRef>
          </c:val>
          <c:extLst>
            <c:ext xmlns:c16="http://schemas.microsoft.com/office/drawing/2014/chart" uri="{C3380CC4-5D6E-409C-BE32-E72D297353CC}">
              <c16:uniqueId val="{00000001-5093-4B78-BB46-FA34878A9535}"/>
            </c:ext>
          </c:extLst>
        </c:ser>
        <c:dLbls>
          <c:showLegendKey val="0"/>
          <c:showVal val="1"/>
          <c:showCatName val="0"/>
          <c:showSerName val="0"/>
          <c:showPercent val="0"/>
          <c:showBubbleSize val="0"/>
        </c:dLbls>
        <c:gapWidth val="150"/>
        <c:overlap val="100"/>
        <c:axId val="2028892783"/>
        <c:axId val="2028899983"/>
      </c:barChart>
      <c:catAx>
        <c:axId val="202889278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2028899983"/>
        <c:crosses val="autoZero"/>
        <c:auto val="1"/>
        <c:lblAlgn val="ctr"/>
        <c:lblOffset val="100"/>
        <c:noMultiLvlLbl val="0"/>
      </c:catAx>
      <c:valAx>
        <c:axId val="2028899983"/>
        <c:scaling>
          <c:orientation val="minMax"/>
        </c:scaling>
        <c:delete val="1"/>
        <c:axPos val="b"/>
        <c:numFmt formatCode="0%" sourceLinked="1"/>
        <c:majorTickMark val="none"/>
        <c:minorTickMark val="none"/>
        <c:tickLblPos val="nextTo"/>
        <c:crossAx val="202889278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9127708006750864"/>
          <c:y val="4.3478260869565216E-2"/>
          <c:w val="0.47516075364721283"/>
          <c:h val="0.95652173913043481"/>
        </c:manualLayout>
      </c:layout>
      <c:barChart>
        <c:barDir val="bar"/>
        <c:grouping val="percentStacked"/>
        <c:varyColors val="0"/>
        <c:ser>
          <c:idx val="0"/>
          <c:order val="0"/>
          <c:tx>
            <c:strRef>
              <c:f>'Progress Tracker'!$B$10</c:f>
              <c:strCache>
                <c:ptCount val="1"/>
                <c:pt idx="0">
                  <c:v>Progress as on December 2024</c:v>
                </c:pt>
              </c:strCache>
            </c:strRef>
          </c:tx>
          <c:spPr>
            <a:solidFill>
              <a:srgbClr val="9CA71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'Progress Tracker'!$A$11:$A$14</c15:sqref>
                  </c15:fullRef>
                </c:ext>
              </c:extLst>
              <c:f>'Progress Tracker'!$A$11</c:f>
              <c:strCache>
                <c:ptCount val="1"/>
                <c:pt idx="0">
                  <c:v>Average salary ratio-women: men(Target 1)</c:v>
                </c:pt>
              </c:strCache>
            </c:strRef>
          </c:cat>
          <c:val>
            <c:numRef>
              <c:extLst>
                <c:ext xmlns:c15="http://schemas.microsoft.com/office/drawing/2012/chart" uri="{02D57815-91ED-43cb-92C2-25804820EDAC}">
                  <c15:fullRef>
                    <c15:sqref>'Progress Tracker'!$B$11:$B$14</c15:sqref>
                  </c15:fullRef>
                </c:ext>
              </c:extLst>
              <c:f>'Progress Tracker'!$B$11</c:f>
              <c:numCache>
                <c:formatCode>0%</c:formatCode>
                <c:ptCount val="1"/>
                <c:pt idx="0">
                  <c:v>0.84444444444444455</c:v>
                </c:pt>
              </c:numCache>
            </c:numRef>
          </c:val>
          <c:extLst>
            <c:ext xmlns:c16="http://schemas.microsoft.com/office/drawing/2014/chart" uri="{C3380CC4-5D6E-409C-BE32-E72D297353CC}">
              <c16:uniqueId val="{00000000-3BC6-4AD7-8330-8C85747F1C77}"/>
            </c:ext>
          </c:extLst>
        </c:ser>
        <c:ser>
          <c:idx val="1"/>
          <c:order val="1"/>
          <c:tx>
            <c:strRef>
              <c:f>'Progress Tracker'!$C$10</c:f>
              <c:strCache>
                <c:ptCount val="1"/>
                <c:pt idx="0">
                  <c:v>Remaining</c:v>
                </c:pt>
              </c:strCache>
            </c:strRef>
          </c:tx>
          <c:spPr>
            <a:solidFill>
              <a:srgbClr val="C6CCA1"/>
            </a:solidFill>
            <a:ln>
              <a:noFill/>
            </a:ln>
            <a:effectLst/>
          </c:spPr>
          <c:invertIfNegative val="0"/>
          <c:cat>
            <c:strRef>
              <c:extLst>
                <c:ext xmlns:c15="http://schemas.microsoft.com/office/drawing/2012/chart" uri="{02D57815-91ED-43cb-92C2-25804820EDAC}">
                  <c15:fullRef>
                    <c15:sqref>'Progress Tracker'!$A$11:$A$14</c15:sqref>
                  </c15:fullRef>
                </c:ext>
              </c:extLst>
              <c:f>'Progress Tracker'!$A$11</c:f>
              <c:strCache>
                <c:ptCount val="1"/>
                <c:pt idx="0">
                  <c:v>Average salary ratio-women: men(Target 1)</c:v>
                </c:pt>
              </c:strCache>
            </c:strRef>
          </c:cat>
          <c:val>
            <c:numRef>
              <c:extLst>
                <c:ext xmlns:c15="http://schemas.microsoft.com/office/drawing/2012/chart" uri="{02D57815-91ED-43cb-92C2-25804820EDAC}">
                  <c15:fullRef>
                    <c15:sqref>'Progress Tracker'!$C$11:$C$14</c15:sqref>
                  </c15:fullRef>
                </c:ext>
              </c:extLst>
              <c:f>'Progress Tracker'!$C$11</c:f>
              <c:numCache>
                <c:formatCode>0%</c:formatCode>
                <c:ptCount val="1"/>
                <c:pt idx="0">
                  <c:v>0.15555555555555545</c:v>
                </c:pt>
              </c:numCache>
            </c:numRef>
          </c:val>
          <c:extLst>
            <c:ext xmlns:c16="http://schemas.microsoft.com/office/drawing/2014/chart" uri="{C3380CC4-5D6E-409C-BE32-E72D297353CC}">
              <c16:uniqueId val="{00000001-3BC6-4AD7-8330-8C85747F1C77}"/>
            </c:ext>
          </c:extLst>
        </c:ser>
        <c:dLbls>
          <c:showLegendKey val="0"/>
          <c:showVal val="0"/>
          <c:showCatName val="0"/>
          <c:showSerName val="0"/>
          <c:showPercent val="0"/>
          <c:showBubbleSize val="0"/>
        </c:dLbls>
        <c:gapWidth val="150"/>
        <c:overlap val="100"/>
        <c:axId val="1917036303"/>
        <c:axId val="1917034863"/>
      </c:barChart>
      <c:catAx>
        <c:axId val="191703630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1917034863"/>
        <c:crosses val="autoZero"/>
        <c:auto val="1"/>
        <c:lblAlgn val="ctr"/>
        <c:lblOffset val="100"/>
        <c:noMultiLvlLbl val="0"/>
      </c:catAx>
      <c:valAx>
        <c:axId val="1917034863"/>
        <c:scaling>
          <c:orientation val="minMax"/>
          <c:min val="0"/>
        </c:scaling>
        <c:delete val="1"/>
        <c:axPos val="b"/>
        <c:numFmt formatCode="0%" sourceLinked="1"/>
        <c:majorTickMark val="out"/>
        <c:minorTickMark val="none"/>
        <c:tickLblPos val="nextTo"/>
        <c:crossAx val="1917036303"/>
        <c:crosses val="autoZero"/>
        <c:crossBetween val="between"/>
      </c:valAx>
      <c:spPr>
        <a:noFill/>
        <a:ln w="254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9127708006750864"/>
          <c:y val="4.3478260869565216E-2"/>
          <c:w val="0.47516075364721283"/>
          <c:h val="0.95652173913043481"/>
        </c:manualLayout>
      </c:layout>
      <c:barChart>
        <c:barDir val="bar"/>
        <c:grouping val="percentStacked"/>
        <c:varyColors val="0"/>
        <c:ser>
          <c:idx val="2"/>
          <c:order val="0"/>
          <c:tx>
            <c:strRef>
              <c:f>'Progress Tracker'!$B$10</c:f>
              <c:strCache>
                <c:ptCount val="1"/>
                <c:pt idx="0">
                  <c:v>Progress as on December 2024</c:v>
                </c:pt>
              </c:strCache>
            </c:strRef>
          </c:tx>
          <c:spPr>
            <a:solidFill>
              <a:srgbClr val="9CA71C"/>
            </a:solidFill>
          </c:spPr>
          <c:invertIfNegative val="0"/>
          <c:cat>
            <c:strRef>
              <c:f>'Progress Tracker'!$A$11:$A$14</c:f>
              <c:strCache>
                <c:ptCount val="4"/>
                <c:pt idx="0">
                  <c:v>Average salary ratio-women: men(Target 1)</c:v>
                </c:pt>
                <c:pt idx="1">
                  <c:v>Percentage of women new hires(Target 50%)</c:v>
                </c:pt>
                <c:pt idx="2">
                  <c:v>Ratio of women is to men promoted to senior management in past 2 years</c:v>
                </c:pt>
                <c:pt idx="3">
                  <c:v>Ratio of women is to men promoted to middle management in past 2 years</c:v>
                </c:pt>
              </c:strCache>
            </c:strRef>
          </c:cat>
          <c:val>
            <c:numRef>
              <c:f>'Progress Tracker'!$B$11:$B$14</c:f>
              <c:numCache>
                <c:formatCode>0%</c:formatCode>
                <c:ptCount val="4"/>
                <c:pt idx="0">
                  <c:v>0.84444444444444455</c:v>
                </c:pt>
                <c:pt idx="1">
                  <c:v>0</c:v>
                </c:pt>
                <c:pt idx="2">
                  <c:v>0</c:v>
                </c:pt>
                <c:pt idx="3">
                  <c:v>1</c:v>
                </c:pt>
              </c:numCache>
            </c:numRef>
          </c:val>
          <c:extLst>
            <c:ext xmlns:c16="http://schemas.microsoft.com/office/drawing/2014/chart" uri="{C3380CC4-5D6E-409C-BE32-E72D297353CC}">
              <c16:uniqueId val="{00000006-86B7-4645-BC65-8BDB4245BD0D}"/>
            </c:ext>
          </c:extLst>
        </c:ser>
        <c:ser>
          <c:idx val="3"/>
          <c:order val="1"/>
          <c:tx>
            <c:strRef>
              <c:f>'Progress Tracker'!$C$10</c:f>
              <c:strCache>
                <c:ptCount val="1"/>
                <c:pt idx="0">
                  <c:v>Remaining</c:v>
                </c:pt>
              </c:strCache>
            </c:strRef>
          </c:tx>
          <c:spPr>
            <a:solidFill>
              <a:srgbClr val="C6CCA1"/>
            </a:solidFill>
          </c:spPr>
          <c:invertIfNegative val="0"/>
          <c:cat>
            <c:strRef>
              <c:f>'Progress Tracker'!$A$11:$A$14</c:f>
              <c:strCache>
                <c:ptCount val="4"/>
                <c:pt idx="0">
                  <c:v>Average salary ratio-women: men(Target 1)</c:v>
                </c:pt>
                <c:pt idx="1">
                  <c:v>Percentage of women new hires(Target 50%)</c:v>
                </c:pt>
                <c:pt idx="2">
                  <c:v>Ratio of women is to men promoted to senior management in past 2 years</c:v>
                </c:pt>
                <c:pt idx="3">
                  <c:v>Ratio of women is to men promoted to middle management in past 2 years</c:v>
                </c:pt>
              </c:strCache>
            </c:strRef>
          </c:cat>
          <c:val>
            <c:numRef>
              <c:f>'Progress Tracker'!$C$11:$C$14</c:f>
              <c:numCache>
                <c:formatCode>0%</c:formatCode>
                <c:ptCount val="4"/>
                <c:pt idx="0">
                  <c:v>0.15555555555555545</c:v>
                </c:pt>
                <c:pt idx="1">
                  <c:v>1</c:v>
                </c:pt>
                <c:pt idx="2">
                  <c:v>1</c:v>
                </c:pt>
                <c:pt idx="3">
                  <c:v>0</c:v>
                </c:pt>
              </c:numCache>
            </c:numRef>
          </c:val>
          <c:extLst>
            <c:ext xmlns:c16="http://schemas.microsoft.com/office/drawing/2014/chart" uri="{C3380CC4-5D6E-409C-BE32-E72D297353CC}">
              <c16:uniqueId val="{00000007-86B7-4645-BC65-8BDB4245BD0D}"/>
            </c:ext>
          </c:extLst>
        </c:ser>
        <c:dLbls>
          <c:showLegendKey val="0"/>
          <c:showVal val="0"/>
          <c:showCatName val="0"/>
          <c:showSerName val="0"/>
          <c:showPercent val="0"/>
          <c:showBubbleSize val="0"/>
        </c:dLbls>
        <c:gapWidth val="150"/>
        <c:overlap val="100"/>
        <c:axId val="1917036303"/>
        <c:axId val="1917034863"/>
        <c:extLst>
          <c:ext xmlns:c15="http://schemas.microsoft.com/office/drawing/2012/chart" uri="{02D57815-91ED-43cb-92C2-25804820EDAC}">
            <c15:filteredBarSeries>
              <c15:ser>
                <c:idx val="0"/>
                <c:order val="2"/>
                <c:tx>
                  <c:strRef>
                    <c:extLst>
                      <c:ext uri="{02D57815-91ED-43cb-92C2-25804820EDAC}">
                        <c15:formulaRef>
                          <c15:sqref>'Progress Tracker'!$B$10</c15:sqref>
                        </c15:formulaRef>
                      </c:ext>
                    </c:extLst>
                    <c:strCache>
                      <c:ptCount val="1"/>
                      <c:pt idx="0">
                        <c:v>Progress as on December 2024</c:v>
                      </c:pt>
                    </c:strCache>
                  </c:strRef>
                </c:tx>
                <c:spPr>
                  <a:solidFill>
                    <a:srgbClr val="9CA71C"/>
                  </a:solidFill>
                  <a:ln>
                    <a:noFill/>
                  </a:ln>
                  <a:effectLst/>
                </c:spPr>
                <c:invertIfNegative val="0"/>
                <c:cat>
                  <c:strRef>
                    <c:extLst>
                      <c:ext uri="{02D57815-91ED-43cb-92C2-25804820EDAC}">
                        <c15:formulaRef>
                          <c15:sqref>'Progress Tracker'!$A$12</c15:sqref>
                        </c15:formulaRef>
                      </c:ext>
                    </c:extLst>
                    <c:strCache>
                      <c:ptCount val="1"/>
                      <c:pt idx="0">
                        <c:v>Percentage of women new hires(Target 50%)</c:v>
                      </c:pt>
                    </c:strCache>
                  </c:strRef>
                </c:cat>
                <c:val>
                  <c:numRef>
                    <c:extLst>
                      <c:ext uri="{02D57815-91ED-43cb-92C2-25804820EDAC}">
                        <c15:formulaRef>
                          <c15:sqref>'Progress Tracker'!$B$12</c15:sqref>
                        </c15:formulaRef>
                      </c:ext>
                    </c:extLst>
                    <c:numCache>
                      <c:formatCode>0%</c:formatCode>
                      <c:ptCount val="1"/>
                      <c:pt idx="0">
                        <c:v>0</c:v>
                      </c:pt>
                    </c:numCache>
                  </c:numRef>
                </c:val>
                <c:extLst>
                  <c:ext xmlns:c16="http://schemas.microsoft.com/office/drawing/2014/chart" uri="{C3380CC4-5D6E-409C-BE32-E72D297353CC}">
                    <c16:uniqueId val="{00000003-86B7-4645-BC65-8BDB4245BD0D}"/>
                  </c:ext>
                </c:extLst>
              </c15:ser>
            </c15:filteredBarSeries>
            <c15:filteredBarSeries>
              <c15:ser>
                <c:idx val="1"/>
                <c:order val="3"/>
                <c:tx>
                  <c:strRef>
                    <c:extLst xmlns:c15="http://schemas.microsoft.com/office/drawing/2012/chart">
                      <c:ext xmlns:c15="http://schemas.microsoft.com/office/drawing/2012/chart" uri="{02D57815-91ED-43cb-92C2-25804820EDAC}">
                        <c15:formulaRef>
                          <c15:sqref>'Progress Tracker'!$C$10</c15:sqref>
                        </c15:formulaRef>
                      </c:ext>
                    </c:extLst>
                    <c:strCache>
                      <c:ptCount val="1"/>
                      <c:pt idx="0">
                        <c:v>Remaining</c:v>
                      </c:pt>
                    </c:strCache>
                  </c:strRef>
                </c:tx>
                <c:spPr>
                  <a:solidFill>
                    <a:srgbClr val="C6CCA1"/>
                  </a:solidFill>
                  <a:ln>
                    <a:noFill/>
                  </a:ln>
                  <a:effectLst/>
                </c:spPr>
                <c:invertIfNegative val="0"/>
                <c:cat>
                  <c:strRef>
                    <c:extLst xmlns:c15="http://schemas.microsoft.com/office/drawing/2012/chart">
                      <c:ext xmlns:c15="http://schemas.microsoft.com/office/drawing/2012/chart" uri="{02D57815-91ED-43cb-92C2-25804820EDAC}">
                        <c15:formulaRef>
                          <c15:sqref>'Progress Tracker'!$A$12</c15:sqref>
                        </c15:formulaRef>
                      </c:ext>
                    </c:extLst>
                    <c:strCache>
                      <c:ptCount val="1"/>
                      <c:pt idx="0">
                        <c:v>Percentage of women new hires(Target 50%)</c:v>
                      </c:pt>
                    </c:strCache>
                  </c:strRef>
                </c:cat>
                <c:val>
                  <c:numRef>
                    <c:extLst xmlns:c15="http://schemas.microsoft.com/office/drawing/2012/chart">
                      <c:ext xmlns:c15="http://schemas.microsoft.com/office/drawing/2012/chart" uri="{02D57815-91ED-43cb-92C2-25804820EDAC}">
                        <c15:formulaRef>
                          <c15:sqref>'Progress Tracker'!$C$12</c15:sqref>
                        </c15:formulaRef>
                      </c:ext>
                    </c:extLst>
                    <c:numCache>
                      <c:formatCode>0%</c:formatCode>
                      <c:ptCount val="1"/>
                      <c:pt idx="0">
                        <c:v>1</c:v>
                      </c:pt>
                    </c:numCache>
                  </c:numRef>
                </c:val>
                <c:extLst xmlns:c15="http://schemas.microsoft.com/office/drawing/2012/chart">
                  <c:ext xmlns:c16="http://schemas.microsoft.com/office/drawing/2014/chart" uri="{C3380CC4-5D6E-409C-BE32-E72D297353CC}">
                    <c16:uniqueId val="{00000005-86B7-4645-BC65-8BDB4245BD0D}"/>
                  </c:ext>
                </c:extLst>
              </c15:ser>
            </c15:filteredBarSeries>
          </c:ext>
        </c:extLst>
      </c:barChart>
      <c:catAx>
        <c:axId val="191703630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1917034863"/>
        <c:crosses val="autoZero"/>
        <c:auto val="1"/>
        <c:lblAlgn val="ctr"/>
        <c:lblOffset val="100"/>
        <c:noMultiLvlLbl val="0"/>
      </c:catAx>
      <c:valAx>
        <c:axId val="1917034863"/>
        <c:scaling>
          <c:orientation val="minMax"/>
          <c:min val="0"/>
        </c:scaling>
        <c:delete val="1"/>
        <c:axPos val="b"/>
        <c:numFmt formatCode="0%" sourceLinked="1"/>
        <c:majorTickMark val="out"/>
        <c:minorTickMark val="none"/>
        <c:tickLblPos val="nextTo"/>
        <c:crossAx val="1917036303"/>
        <c:crosses val="autoZero"/>
        <c:crossBetween val="between"/>
      </c:valAx>
      <c:spPr>
        <a:noFill/>
        <a:ln w="25400">
          <a:noFill/>
        </a:ln>
        <a:effectLst/>
      </c:spPr>
    </c:plotArea>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9864912354348695"/>
          <c:y val="7.6181102362204989E-3"/>
          <c:w val="0.46783983304447957"/>
          <c:h val="0.8419038245219348"/>
        </c:manualLayout>
      </c:layout>
      <c:barChart>
        <c:barDir val="bar"/>
        <c:grouping val="percentStacked"/>
        <c:varyColors val="0"/>
        <c:ser>
          <c:idx val="0"/>
          <c:order val="0"/>
          <c:tx>
            <c:strRef>
              <c:f>'Progress Tracker'!$B$15</c:f>
              <c:strCache>
                <c:ptCount val="1"/>
                <c:pt idx="0">
                  <c:v>Progress as on December 2024</c:v>
                </c:pt>
              </c:strCache>
            </c:strRef>
          </c:tx>
          <c:spPr>
            <a:solidFill>
              <a:srgbClr val="9CA71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'Progress Tracker'!$A$16:$A$17</c15:sqref>
                  </c15:fullRef>
                </c:ext>
              </c:extLst>
              <c:f>'Progress Tracker'!$A$16</c:f>
              <c:strCache>
                <c:ptCount val="1"/>
                <c:pt idx="0">
                  <c:v>Percentage of women who worked for 12 months after returning from parental leave(Target 90%)</c:v>
                </c:pt>
              </c:strCache>
            </c:strRef>
          </c:cat>
          <c:val>
            <c:numRef>
              <c:extLst>
                <c:ext xmlns:c15="http://schemas.microsoft.com/office/drawing/2012/chart" uri="{02D57815-91ED-43cb-92C2-25804820EDAC}">
                  <c15:fullRef>
                    <c15:sqref>'Progress Tracker'!$B$16:$B$17</c15:sqref>
                  </c15:fullRef>
                </c:ext>
              </c:extLst>
              <c:f>'Progress Tracker'!$B$16</c:f>
              <c:numCache>
                <c:formatCode>0%</c:formatCode>
                <c:ptCount val="1"/>
                <c:pt idx="0">
                  <c:v>0.66666666666666663</c:v>
                </c:pt>
              </c:numCache>
            </c:numRef>
          </c:val>
          <c:extLst>
            <c:ext xmlns:c16="http://schemas.microsoft.com/office/drawing/2014/chart" uri="{C3380CC4-5D6E-409C-BE32-E72D297353CC}">
              <c16:uniqueId val="{00000000-BD8C-4F36-96B5-B41A8433111A}"/>
            </c:ext>
          </c:extLst>
        </c:ser>
        <c:ser>
          <c:idx val="1"/>
          <c:order val="1"/>
          <c:tx>
            <c:strRef>
              <c:f>'Progress Tracker'!$C$15</c:f>
              <c:strCache>
                <c:ptCount val="1"/>
                <c:pt idx="0">
                  <c:v>Remaining</c:v>
                </c:pt>
              </c:strCache>
            </c:strRef>
          </c:tx>
          <c:spPr>
            <a:solidFill>
              <a:srgbClr val="C6CCA1"/>
            </a:solidFill>
            <a:ln>
              <a:noFill/>
            </a:ln>
            <a:effectLst/>
          </c:spPr>
          <c:invertIfNegative val="0"/>
          <c:cat>
            <c:strRef>
              <c:extLst>
                <c:ext xmlns:c15="http://schemas.microsoft.com/office/drawing/2012/chart" uri="{02D57815-91ED-43cb-92C2-25804820EDAC}">
                  <c15:fullRef>
                    <c15:sqref>'Progress Tracker'!$A$16:$A$17</c15:sqref>
                  </c15:fullRef>
                </c:ext>
              </c:extLst>
              <c:f>'Progress Tracker'!$A$16</c:f>
              <c:strCache>
                <c:ptCount val="1"/>
                <c:pt idx="0">
                  <c:v>Percentage of women who worked for 12 months after returning from parental leave(Target 90%)</c:v>
                </c:pt>
              </c:strCache>
            </c:strRef>
          </c:cat>
          <c:val>
            <c:numRef>
              <c:extLst>
                <c:ext xmlns:c15="http://schemas.microsoft.com/office/drawing/2012/chart" uri="{02D57815-91ED-43cb-92C2-25804820EDAC}">
                  <c15:fullRef>
                    <c15:sqref>'Progress Tracker'!$C$16:$C$17</c15:sqref>
                  </c15:fullRef>
                </c:ext>
              </c:extLst>
              <c:f>'Progress Tracker'!$C$16</c:f>
              <c:numCache>
                <c:formatCode>0%</c:formatCode>
                <c:ptCount val="1"/>
                <c:pt idx="0">
                  <c:v>0.33333333333333337</c:v>
                </c:pt>
              </c:numCache>
            </c:numRef>
          </c:val>
          <c:extLst>
            <c:ext xmlns:c16="http://schemas.microsoft.com/office/drawing/2014/chart" uri="{C3380CC4-5D6E-409C-BE32-E72D297353CC}">
              <c16:uniqueId val="{00000001-BD8C-4F36-96B5-B41A8433111A}"/>
            </c:ext>
          </c:extLst>
        </c:ser>
        <c:dLbls>
          <c:showLegendKey val="0"/>
          <c:showVal val="0"/>
          <c:showCatName val="0"/>
          <c:showSerName val="0"/>
          <c:showPercent val="0"/>
          <c:showBubbleSize val="0"/>
        </c:dLbls>
        <c:gapWidth val="150"/>
        <c:overlap val="100"/>
        <c:axId val="2059637103"/>
        <c:axId val="2059637583"/>
      </c:barChart>
      <c:catAx>
        <c:axId val="205963710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2059637583"/>
        <c:crosses val="autoZero"/>
        <c:auto val="1"/>
        <c:lblAlgn val="ctr"/>
        <c:lblOffset val="100"/>
        <c:noMultiLvlLbl val="0"/>
      </c:catAx>
      <c:valAx>
        <c:axId val="2059637583"/>
        <c:scaling>
          <c:orientation val="minMax"/>
        </c:scaling>
        <c:delete val="1"/>
        <c:axPos val="b"/>
        <c:numFmt formatCode="0%" sourceLinked="1"/>
        <c:majorTickMark val="none"/>
        <c:minorTickMark val="none"/>
        <c:tickLblPos val="nextTo"/>
        <c:crossAx val="205963710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9864912354348695"/>
          <c:y val="7.6181102362204989E-3"/>
          <c:w val="0.46783983304447957"/>
          <c:h val="0.8419038245219348"/>
        </c:manualLayout>
      </c:layout>
      <c:barChart>
        <c:barDir val="bar"/>
        <c:grouping val="percentStacked"/>
        <c:varyColors val="0"/>
        <c:ser>
          <c:idx val="0"/>
          <c:order val="0"/>
          <c:tx>
            <c:strRef>
              <c:f>'Progress Tracker'!$B$15</c:f>
              <c:strCache>
                <c:ptCount val="1"/>
                <c:pt idx="0">
                  <c:v>Progress as on December 2024</c:v>
                </c:pt>
              </c:strCache>
            </c:strRef>
          </c:tx>
          <c:spPr>
            <a:solidFill>
              <a:srgbClr val="9CA71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'Progress Tracker'!$A$16:$A$17</c15:sqref>
                  </c15:fullRef>
                </c:ext>
              </c:extLst>
              <c:f>'Progress Tracker'!$A$17</c:f>
              <c:strCache>
                <c:ptCount val="1"/>
                <c:pt idx="0">
                  <c:v>Percentage of men who worked for 12 months after returning from parental leave(Target 90%)</c:v>
                </c:pt>
              </c:strCache>
            </c:strRef>
          </c:cat>
          <c:val>
            <c:numRef>
              <c:extLst>
                <c:ext xmlns:c15="http://schemas.microsoft.com/office/drawing/2012/chart" uri="{02D57815-91ED-43cb-92C2-25804820EDAC}">
                  <c15:fullRef>
                    <c15:sqref>'Progress Tracker'!$B$16:$B$17</c15:sqref>
                  </c15:fullRef>
                </c:ext>
              </c:extLst>
              <c:f>'Progress Tracker'!$B$17</c:f>
              <c:numCache>
                <c:formatCode>0%</c:formatCode>
                <c:ptCount val="1"/>
                <c:pt idx="0">
                  <c:v>0.7407407407407407</c:v>
                </c:pt>
              </c:numCache>
            </c:numRef>
          </c:val>
          <c:extLst>
            <c:ext xmlns:c16="http://schemas.microsoft.com/office/drawing/2014/chart" uri="{C3380CC4-5D6E-409C-BE32-E72D297353CC}">
              <c16:uniqueId val="{00000000-5C37-44AD-BEEC-8A260A17852D}"/>
            </c:ext>
          </c:extLst>
        </c:ser>
        <c:ser>
          <c:idx val="1"/>
          <c:order val="1"/>
          <c:tx>
            <c:strRef>
              <c:f>'Progress Tracker'!$C$15</c:f>
              <c:strCache>
                <c:ptCount val="1"/>
                <c:pt idx="0">
                  <c:v>Remaining</c:v>
                </c:pt>
              </c:strCache>
            </c:strRef>
          </c:tx>
          <c:spPr>
            <a:solidFill>
              <a:srgbClr val="C6CCA1"/>
            </a:solidFill>
            <a:ln>
              <a:noFill/>
            </a:ln>
            <a:effectLst/>
          </c:spPr>
          <c:invertIfNegative val="0"/>
          <c:cat>
            <c:strRef>
              <c:extLst>
                <c:ext xmlns:c15="http://schemas.microsoft.com/office/drawing/2012/chart" uri="{02D57815-91ED-43cb-92C2-25804820EDAC}">
                  <c15:fullRef>
                    <c15:sqref>'Progress Tracker'!$A$16:$A$17</c15:sqref>
                  </c15:fullRef>
                </c:ext>
              </c:extLst>
              <c:f>'Progress Tracker'!$A$17</c:f>
              <c:strCache>
                <c:ptCount val="1"/>
                <c:pt idx="0">
                  <c:v>Percentage of men who worked for 12 months after returning from parental leave(Target 90%)</c:v>
                </c:pt>
              </c:strCache>
            </c:strRef>
          </c:cat>
          <c:val>
            <c:numRef>
              <c:extLst>
                <c:ext xmlns:c15="http://schemas.microsoft.com/office/drawing/2012/chart" uri="{02D57815-91ED-43cb-92C2-25804820EDAC}">
                  <c15:fullRef>
                    <c15:sqref>'Progress Tracker'!$C$16:$C$17</c15:sqref>
                  </c15:fullRef>
                </c:ext>
              </c:extLst>
              <c:f>'Progress Tracker'!$C$17</c:f>
              <c:numCache>
                <c:formatCode>0%</c:formatCode>
                <c:ptCount val="1"/>
                <c:pt idx="0">
                  <c:v>0.2592592592592593</c:v>
                </c:pt>
              </c:numCache>
            </c:numRef>
          </c:val>
          <c:extLst>
            <c:ext xmlns:c16="http://schemas.microsoft.com/office/drawing/2014/chart" uri="{C3380CC4-5D6E-409C-BE32-E72D297353CC}">
              <c16:uniqueId val="{00000001-5C37-44AD-BEEC-8A260A17852D}"/>
            </c:ext>
          </c:extLst>
        </c:ser>
        <c:dLbls>
          <c:showLegendKey val="0"/>
          <c:showVal val="0"/>
          <c:showCatName val="0"/>
          <c:showSerName val="0"/>
          <c:showPercent val="0"/>
          <c:showBubbleSize val="0"/>
        </c:dLbls>
        <c:gapWidth val="150"/>
        <c:overlap val="100"/>
        <c:axId val="2059637103"/>
        <c:axId val="2059637583"/>
      </c:barChart>
      <c:catAx>
        <c:axId val="205963710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2059637583"/>
        <c:crosses val="autoZero"/>
        <c:auto val="1"/>
        <c:lblAlgn val="ctr"/>
        <c:lblOffset val="100"/>
        <c:noMultiLvlLbl val="0"/>
      </c:catAx>
      <c:valAx>
        <c:axId val="2059637583"/>
        <c:scaling>
          <c:orientation val="minMax"/>
        </c:scaling>
        <c:delete val="1"/>
        <c:axPos val="b"/>
        <c:numFmt formatCode="0%" sourceLinked="1"/>
        <c:majorTickMark val="none"/>
        <c:minorTickMark val="none"/>
        <c:tickLblPos val="nextTo"/>
        <c:crossAx val="205963710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9357617045774843"/>
          <c:y val="8.3333333333333329E-2"/>
          <c:w val="0.47291278613021803"/>
          <c:h val="0.875"/>
        </c:manualLayout>
      </c:layout>
      <c:barChart>
        <c:barDir val="bar"/>
        <c:grouping val="stacked"/>
        <c:varyColors val="0"/>
        <c:ser>
          <c:idx val="0"/>
          <c:order val="0"/>
          <c:tx>
            <c:strRef>
              <c:f>'Progress Tracker'!$B$18</c:f>
              <c:strCache>
                <c:ptCount val="1"/>
                <c:pt idx="0">
                  <c:v>Progress as on December 2024</c:v>
                </c:pt>
              </c:strCache>
            </c:strRef>
          </c:tx>
          <c:spPr>
            <a:solidFill>
              <a:srgbClr val="9CA71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'Progress Tracker'!$A$19:$A$21</c15:sqref>
                  </c15:fullRef>
                </c:ext>
              </c:extLst>
              <c:f>'Progress Tracker'!$A$19</c:f>
              <c:strCache>
                <c:ptCount val="1"/>
                <c:pt idx="0">
                  <c:v>Percentage of women loan officers(Target 40%)</c:v>
                </c:pt>
              </c:strCache>
            </c:strRef>
          </c:cat>
          <c:val>
            <c:numRef>
              <c:extLst>
                <c:ext xmlns:c15="http://schemas.microsoft.com/office/drawing/2012/chart" uri="{02D57815-91ED-43cb-92C2-25804820EDAC}">
                  <c15:fullRef>
                    <c15:sqref>'Progress Tracker'!$B$19:$B$21</c15:sqref>
                  </c15:fullRef>
                </c:ext>
              </c:extLst>
              <c:f>'Progress Tracker'!$B$19</c:f>
              <c:numCache>
                <c:formatCode>0%</c:formatCode>
                <c:ptCount val="1"/>
                <c:pt idx="0">
                  <c:v>0.83333333333333326</c:v>
                </c:pt>
              </c:numCache>
            </c:numRef>
          </c:val>
          <c:extLst>
            <c:ext xmlns:c16="http://schemas.microsoft.com/office/drawing/2014/chart" uri="{C3380CC4-5D6E-409C-BE32-E72D297353CC}">
              <c16:uniqueId val="{00000000-1831-4E25-B240-7AC0357DC958}"/>
            </c:ext>
          </c:extLst>
        </c:ser>
        <c:ser>
          <c:idx val="1"/>
          <c:order val="1"/>
          <c:tx>
            <c:strRef>
              <c:f>'Progress Tracker'!$C$18</c:f>
              <c:strCache>
                <c:ptCount val="1"/>
                <c:pt idx="0">
                  <c:v>Remaining</c:v>
                </c:pt>
              </c:strCache>
            </c:strRef>
          </c:tx>
          <c:spPr>
            <a:solidFill>
              <a:srgbClr val="C6CCA1"/>
            </a:solidFill>
            <a:ln>
              <a:noFill/>
            </a:ln>
            <a:effectLst/>
          </c:spPr>
          <c:invertIfNegative val="0"/>
          <c:cat>
            <c:strRef>
              <c:extLst>
                <c:ext xmlns:c15="http://schemas.microsoft.com/office/drawing/2012/chart" uri="{02D57815-91ED-43cb-92C2-25804820EDAC}">
                  <c15:fullRef>
                    <c15:sqref>'Progress Tracker'!$A$19:$A$21</c15:sqref>
                  </c15:fullRef>
                </c:ext>
              </c:extLst>
              <c:f>'Progress Tracker'!$A$19</c:f>
              <c:strCache>
                <c:ptCount val="1"/>
                <c:pt idx="0">
                  <c:v>Percentage of women loan officers(Target 40%)</c:v>
                </c:pt>
              </c:strCache>
            </c:strRef>
          </c:cat>
          <c:val>
            <c:numRef>
              <c:extLst>
                <c:ext xmlns:c15="http://schemas.microsoft.com/office/drawing/2012/chart" uri="{02D57815-91ED-43cb-92C2-25804820EDAC}">
                  <c15:fullRef>
                    <c15:sqref>'Progress Tracker'!$C$19:$C$21</c15:sqref>
                  </c15:fullRef>
                </c:ext>
              </c:extLst>
              <c:f>'Progress Tracker'!$C$19</c:f>
              <c:numCache>
                <c:formatCode>0%</c:formatCode>
                <c:ptCount val="1"/>
                <c:pt idx="0">
                  <c:v>0.16666666666666674</c:v>
                </c:pt>
              </c:numCache>
            </c:numRef>
          </c:val>
          <c:extLst>
            <c:ext xmlns:c16="http://schemas.microsoft.com/office/drawing/2014/chart" uri="{C3380CC4-5D6E-409C-BE32-E72D297353CC}">
              <c16:uniqueId val="{00000001-1831-4E25-B240-7AC0357DC958}"/>
            </c:ext>
          </c:extLst>
        </c:ser>
        <c:dLbls>
          <c:showLegendKey val="0"/>
          <c:showVal val="0"/>
          <c:showCatName val="0"/>
          <c:showSerName val="0"/>
          <c:showPercent val="0"/>
          <c:showBubbleSize val="0"/>
        </c:dLbls>
        <c:gapWidth val="150"/>
        <c:overlap val="100"/>
        <c:axId val="1917538223"/>
        <c:axId val="1917527663"/>
      </c:barChart>
      <c:catAx>
        <c:axId val="191753822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1917527663"/>
        <c:crosses val="autoZero"/>
        <c:auto val="1"/>
        <c:lblAlgn val="ctr"/>
        <c:lblOffset val="100"/>
        <c:noMultiLvlLbl val="0"/>
      </c:catAx>
      <c:valAx>
        <c:axId val="1917527663"/>
        <c:scaling>
          <c:orientation val="minMax"/>
          <c:max val="1"/>
        </c:scaling>
        <c:delete val="1"/>
        <c:axPos val="b"/>
        <c:numFmt formatCode="0%" sourceLinked="1"/>
        <c:majorTickMark val="out"/>
        <c:minorTickMark val="none"/>
        <c:tickLblPos val="nextTo"/>
        <c:crossAx val="191753822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9357617045774843"/>
          <c:y val="8.3333333333333329E-2"/>
          <c:w val="0.47291278613021803"/>
          <c:h val="0.875"/>
        </c:manualLayout>
      </c:layout>
      <c:barChart>
        <c:barDir val="bar"/>
        <c:grouping val="stacked"/>
        <c:varyColors val="0"/>
        <c:ser>
          <c:idx val="0"/>
          <c:order val="0"/>
          <c:tx>
            <c:strRef>
              <c:f>'Progress Tracker'!$B$18</c:f>
              <c:strCache>
                <c:ptCount val="1"/>
                <c:pt idx="0">
                  <c:v>Progress as on December 2024</c:v>
                </c:pt>
              </c:strCache>
            </c:strRef>
          </c:tx>
          <c:spPr>
            <a:solidFill>
              <a:srgbClr val="9CA71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'Progress Tracker'!$A$19:$A$21</c15:sqref>
                  </c15:fullRef>
                </c:ext>
              </c:extLst>
              <c:f>'Progress Tracker'!$A$20</c:f>
              <c:strCache>
                <c:ptCount val="1"/>
                <c:pt idx="0">
                  <c:v>Percentage of women at underrepresented levels(Target 40%)</c:v>
                </c:pt>
              </c:strCache>
            </c:strRef>
          </c:cat>
          <c:val>
            <c:numRef>
              <c:extLst>
                <c:ext xmlns:c15="http://schemas.microsoft.com/office/drawing/2012/chart" uri="{02D57815-91ED-43cb-92C2-25804820EDAC}">
                  <c15:fullRef>
                    <c15:sqref>'Progress Tracker'!$B$19:$B$21</c15:sqref>
                  </c15:fullRef>
                </c:ext>
              </c:extLst>
              <c:f>'Progress Tracker'!$B$20</c:f>
              <c:numCache>
                <c:formatCode>0%</c:formatCode>
                <c:ptCount val="1"/>
                <c:pt idx="0">
                  <c:v>0.45454545454545453</c:v>
                </c:pt>
              </c:numCache>
            </c:numRef>
          </c:val>
          <c:extLst>
            <c:ext xmlns:c16="http://schemas.microsoft.com/office/drawing/2014/chart" uri="{C3380CC4-5D6E-409C-BE32-E72D297353CC}">
              <c16:uniqueId val="{00000000-A117-4DB7-BA1A-DAA2F3E35A60}"/>
            </c:ext>
          </c:extLst>
        </c:ser>
        <c:ser>
          <c:idx val="1"/>
          <c:order val="1"/>
          <c:tx>
            <c:strRef>
              <c:f>'Progress Tracker'!$C$18</c:f>
              <c:strCache>
                <c:ptCount val="1"/>
                <c:pt idx="0">
                  <c:v>Remaining</c:v>
                </c:pt>
              </c:strCache>
            </c:strRef>
          </c:tx>
          <c:spPr>
            <a:solidFill>
              <a:srgbClr val="C6CCA1"/>
            </a:solidFill>
            <a:ln>
              <a:noFill/>
            </a:ln>
            <a:effectLst/>
          </c:spPr>
          <c:invertIfNegative val="0"/>
          <c:cat>
            <c:strRef>
              <c:extLst>
                <c:ext xmlns:c15="http://schemas.microsoft.com/office/drawing/2012/chart" uri="{02D57815-91ED-43cb-92C2-25804820EDAC}">
                  <c15:fullRef>
                    <c15:sqref>'Progress Tracker'!$A$19:$A$21</c15:sqref>
                  </c15:fullRef>
                </c:ext>
              </c:extLst>
              <c:f>'Progress Tracker'!$A$20</c:f>
              <c:strCache>
                <c:ptCount val="1"/>
                <c:pt idx="0">
                  <c:v>Percentage of women at underrepresented levels(Target 40%)</c:v>
                </c:pt>
              </c:strCache>
            </c:strRef>
          </c:cat>
          <c:val>
            <c:numRef>
              <c:extLst>
                <c:ext xmlns:c15="http://schemas.microsoft.com/office/drawing/2012/chart" uri="{02D57815-91ED-43cb-92C2-25804820EDAC}">
                  <c15:fullRef>
                    <c15:sqref>'Progress Tracker'!$C$19:$C$21</c15:sqref>
                  </c15:fullRef>
                </c:ext>
              </c:extLst>
              <c:f>'Progress Tracker'!$C$20</c:f>
              <c:numCache>
                <c:formatCode>0%</c:formatCode>
                <c:ptCount val="1"/>
                <c:pt idx="0">
                  <c:v>0.54545454545454541</c:v>
                </c:pt>
              </c:numCache>
            </c:numRef>
          </c:val>
          <c:extLst>
            <c:ext xmlns:c16="http://schemas.microsoft.com/office/drawing/2014/chart" uri="{C3380CC4-5D6E-409C-BE32-E72D297353CC}">
              <c16:uniqueId val="{00000001-A117-4DB7-BA1A-DAA2F3E35A60}"/>
            </c:ext>
          </c:extLst>
        </c:ser>
        <c:dLbls>
          <c:showLegendKey val="0"/>
          <c:showVal val="0"/>
          <c:showCatName val="0"/>
          <c:showSerName val="0"/>
          <c:showPercent val="0"/>
          <c:showBubbleSize val="0"/>
        </c:dLbls>
        <c:gapWidth val="150"/>
        <c:overlap val="100"/>
        <c:axId val="1917538223"/>
        <c:axId val="1917527663"/>
      </c:barChart>
      <c:catAx>
        <c:axId val="191753822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1917527663"/>
        <c:crosses val="autoZero"/>
        <c:auto val="1"/>
        <c:lblAlgn val="ctr"/>
        <c:lblOffset val="100"/>
        <c:noMultiLvlLbl val="0"/>
      </c:catAx>
      <c:valAx>
        <c:axId val="1917527663"/>
        <c:scaling>
          <c:orientation val="minMax"/>
          <c:max val="1"/>
        </c:scaling>
        <c:delete val="1"/>
        <c:axPos val="b"/>
        <c:numFmt formatCode="0%" sourceLinked="1"/>
        <c:majorTickMark val="out"/>
        <c:minorTickMark val="none"/>
        <c:tickLblPos val="nextTo"/>
        <c:crossAx val="191753822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9357617045774843"/>
          <c:y val="8.3333333333333329E-2"/>
          <c:w val="0.47291278613021803"/>
          <c:h val="0.875"/>
        </c:manualLayout>
      </c:layout>
      <c:barChart>
        <c:barDir val="bar"/>
        <c:grouping val="stacked"/>
        <c:varyColors val="0"/>
        <c:ser>
          <c:idx val="0"/>
          <c:order val="0"/>
          <c:tx>
            <c:strRef>
              <c:f>'Progress Tracker'!$B$18</c:f>
              <c:strCache>
                <c:ptCount val="1"/>
                <c:pt idx="0">
                  <c:v>Progress as on December 2024</c:v>
                </c:pt>
              </c:strCache>
            </c:strRef>
          </c:tx>
          <c:spPr>
            <a:solidFill>
              <a:srgbClr val="9CA71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'Progress Tracker'!$A$19:$A$21</c15:sqref>
                  </c15:fullRef>
                </c:ext>
              </c:extLst>
              <c:f>'Progress Tracker'!$A$21</c:f>
              <c:strCache>
                <c:ptCount val="1"/>
                <c:pt idx="0">
                  <c:v>Ratio of average hours of training of women: men(Target 40%)</c:v>
                </c:pt>
              </c:strCache>
            </c:strRef>
          </c:cat>
          <c:val>
            <c:numRef>
              <c:extLst>
                <c:ext xmlns:c15="http://schemas.microsoft.com/office/drawing/2012/chart" uri="{02D57815-91ED-43cb-92C2-25804820EDAC}">
                  <c15:fullRef>
                    <c15:sqref>'Progress Tracker'!$B$19:$B$21</c15:sqref>
                  </c15:fullRef>
                </c:ext>
              </c:extLst>
              <c:f>'Progress Tracker'!$B$21</c:f>
              <c:numCache>
                <c:formatCode>0%</c:formatCode>
                <c:ptCount val="1"/>
                <c:pt idx="0">
                  <c:v>0.18181818181818182</c:v>
                </c:pt>
              </c:numCache>
            </c:numRef>
          </c:val>
          <c:extLst>
            <c:ext xmlns:c16="http://schemas.microsoft.com/office/drawing/2014/chart" uri="{C3380CC4-5D6E-409C-BE32-E72D297353CC}">
              <c16:uniqueId val="{00000000-0D3D-410B-812A-43667FCFB0BC}"/>
            </c:ext>
          </c:extLst>
        </c:ser>
        <c:ser>
          <c:idx val="1"/>
          <c:order val="1"/>
          <c:tx>
            <c:strRef>
              <c:f>'Progress Tracker'!$C$18</c:f>
              <c:strCache>
                <c:ptCount val="1"/>
                <c:pt idx="0">
                  <c:v>Remaining</c:v>
                </c:pt>
              </c:strCache>
            </c:strRef>
          </c:tx>
          <c:spPr>
            <a:solidFill>
              <a:srgbClr val="C6CCA1"/>
            </a:solidFill>
            <a:ln>
              <a:noFill/>
            </a:ln>
            <a:effectLst/>
          </c:spPr>
          <c:invertIfNegative val="0"/>
          <c:cat>
            <c:strRef>
              <c:extLst>
                <c:ext xmlns:c15="http://schemas.microsoft.com/office/drawing/2012/chart" uri="{02D57815-91ED-43cb-92C2-25804820EDAC}">
                  <c15:fullRef>
                    <c15:sqref>'Progress Tracker'!$A$19:$A$21</c15:sqref>
                  </c15:fullRef>
                </c:ext>
              </c:extLst>
              <c:f>'Progress Tracker'!$A$21</c:f>
              <c:strCache>
                <c:ptCount val="1"/>
                <c:pt idx="0">
                  <c:v>Ratio of average hours of training of women: men(Target 40%)</c:v>
                </c:pt>
              </c:strCache>
            </c:strRef>
          </c:cat>
          <c:val>
            <c:numRef>
              <c:extLst>
                <c:ext xmlns:c15="http://schemas.microsoft.com/office/drawing/2012/chart" uri="{02D57815-91ED-43cb-92C2-25804820EDAC}">
                  <c15:fullRef>
                    <c15:sqref>'Progress Tracker'!$C$19:$C$21</c15:sqref>
                  </c15:fullRef>
                </c:ext>
              </c:extLst>
              <c:f>'Progress Tracker'!$C$21</c:f>
              <c:numCache>
                <c:formatCode>0%</c:formatCode>
                <c:ptCount val="1"/>
                <c:pt idx="0">
                  <c:v>0.81818181818181812</c:v>
                </c:pt>
              </c:numCache>
            </c:numRef>
          </c:val>
          <c:extLst>
            <c:ext xmlns:c16="http://schemas.microsoft.com/office/drawing/2014/chart" uri="{C3380CC4-5D6E-409C-BE32-E72D297353CC}">
              <c16:uniqueId val="{00000001-0D3D-410B-812A-43667FCFB0BC}"/>
            </c:ext>
          </c:extLst>
        </c:ser>
        <c:dLbls>
          <c:showLegendKey val="0"/>
          <c:showVal val="0"/>
          <c:showCatName val="0"/>
          <c:showSerName val="0"/>
          <c:showPercent val="0"/>
          <c:showBubbleSize val="0"/>
        </c:dLbls>
        <c:gapWidth val="150"/>
        <c:overlap val="100"/>
        <c:axId val="1917538223"/>
        <c:axId val="1917527663"/>
      </c:barChart>
      <c:catAx>
        <c:axId val="191753822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1917527663"/>
        <c:crosses val="autoZero"/>
        <c:auto val="1"/>
        <c:lblAlgn val="ctr"/>
        <c:lblOffset val="100"/>
        <c:noMultiLvlLbl val="0"/>
      </c:catAx>
      <c:valAx>
        <c:axId val="1917527663"/>
        <c:scaling>
          <c:orientation val="minMax"/>
          <c:max val="1"/>
        </c:scaling>
        <c:delete val="1"/>
        <c:axPos val="b"/>
        <c:numFmt formatCode="0%" sourceLinked="1"/>
        <c:majorTickMark val="out"/>
        <c:minorTickMark val="none"/>
        <c:tickLblPos val="nextTo"/>
        <c:crossAx val="191753822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8996640984826934"/>
          <c:y val="0.1111111111111111"/>
          <c:w val="0.47621345179661917"/>
          <c:h val="0.77777777777777779"/>
        </c:manualLayout>
      </c:layout>
      <c:barChart>
        <c:barDir val="bar"/>
        <c:grouping val="stacked"/>
        <c:varyColors val="0"/>
        <c:ser>
          <c:idx val="0"/>
          <c:order val="0"/>
          <c:tx>
            <c:strRef>
              <c:f>'Progress Tracker'!$B$22</c:f>
              <c:strCache>
                <c:ptCount val="1"/>
                <c:pt idx="0">
                  <c:v>Progress as on December 2024</c:v>
                </c:pt>
              </c:strCache>
            </c:strRef>
          </c:tx>
          <c:spPr>
            <a:solidFill>
              <a:srgbClr val="9CA71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'Progress Tracker'!$A$23:$A$25</c15:sqref>
                  </c15:fullRef>
                </c:ext>
              </c:extLst>
              <c:f>'Progress Tracker'!$A$23</c:f>
              <c:strCache>
                <c:ptCount val="1"/>
                <c:pt idx="0">
                  <c:v>Percentage of loans approved for businesses owned by women(Target 50%)</c:v>
                </c:pt>
              </c:strCache>
            </c:strRef>
          </c:cat>
          <c:val>
            <c:numRef>
              <c:extLst>
                <c:ext xmlns:c15="http://schemas.microsoft.com/office/drawing/2012/chart" uri="{02D57815-91ED-43cb-92C2-25804820EDAC}">
                  <c15:fullRef>
                    <c15:sqref>'Progress Tracker'!$B$23:$B$25</c15:sqref>
                  </c15:fullRef>
                </c:ext>
              </c:extLst>
              <c:f>'Progress Tracker'!$B$23</c:f>
              <c:numCache>
                <c:formatCode>0%</c:formatCode>
                <c:ptCount val="1"/>
                <c:pt idx="0">
                  <c:v>0.8</c:v>
                </c:pt>
              </c:numCache>
            </c:numRef>
          </c:val>
          <c:extLst>
            <c:ext xmlns:c16="http://schemas.microsoft.com/office/drawing/2014/chart" uri="{C3380CC4-5D6E-409C-BE32-E72D297353CC}">
              <c16:uniqueId val="{00000000-DB4B-4FF2-A56E-D49FDA66C8BA}"/>
            </c:ext>
          </c:extLst>
        </c:ser>
        <c:ser>
          <c:idx val="1"/>
          <c:order val="1"/>
          <c:tx>
            <c:strRef>
              <c:f>'Progress Tracker'!$C$22</c:f>
              <c:strCache>
                <c:ptCount val="1"/>
                <c:pt idx="0">
                  <c:v>Remaining</c:v>
                </c:pt>
              </c:strCache>
            </c:strRef>
          </c:tx>
          <c:spPr>
            <a:solidFill>
              <a:srgbClr val="C6CCA1"/>
            </a:solidFill>
            <a:ln>
              <a:noFill/>
            </a:ln>
            <a:effectLst/>
          </c:spPr>
          <c:invertIfNegative val="0"/>
          <c:cat>
            <c:strRef>
              <c:extLst>
                <c:ext xmlns:c15="http://schemas.microsoft.com/office/drawing/2012/chart" uri="{02D57815-91ED-43cb-92C2-25804820EDAC}">
                  <c15:fullRef>
                    <c15:sqref>'Progress Tracker'!$A$23:$A$25</c15:sqref>
                  </c15:fullRef>
                </c:ext>
              </c:extLst>
              <c:f>'Progress Tracker'!$A$23</c:f>
              <c:strCache>
                <c:ptCount val="1"/>
                <c:pt idx="0">
                  <c:v>Percentage of loans approved for businesses owned by women(Target 50%)</c:v>
                </c:pt>
              </c:strCache>
            </c:strRef>
          </c:cat>
          <c:val>
            <c:numRef>
              <c:extLst>
                <c:ext xmlns:c15="http://schemas.microsoft.com/office/drawing/2012/chart" uri="{02D57815-91ED-43cb-92C2-25804820EDAC}">
                  <c15:fullRef>
                    <c15:sqref>'Progress Tracker'!$C$23:$C$25</c15:sqref>
                  </c15:fullRef>
                </c:ext>
              </c:extLst>
              <c:f>'Progress Tracker'!$C$23</c:f>
              <c:numCache>
                <c:formatCode>0%</c:formatCode>
                <c:ptCount val="1"/>
                <c:pt idx="0">
                  <c:v>0.19999999999999996</c:v>
                </c:pt>
              </c:numCache>
            </c:numRef>
          </c:val>
          <c:extLst>
            <c:ext xmlns:c16="http://schemas.microsoft.com/office/drawing/2014/chart" uri="{C3380CC4-5D6E-409C-BE32-E72D297353CC}">
              <c16:uniqueId val="{00000001-DB4B-4FF2-A56E-D49FDA66C8BA}"/>
            </c:ext>
          </c:extLst>
        </c:ser>
        <c:dLbls>
          <c:showLegendKey val="0"/>
          <c:showVal val="0"/>
          <c:showCatName val="0"/>
          <c:showSerName val="0"/>
          <c:showPercent val="0"/>
          <c:showBubbleSize val="0"/>
        </c:dLbls>
        <c:gapWidth val="150"/>
        <c:overlap val="100"/>
        <c:axId val="1652824815"/>
        <c:axId val="1652838735"/>
      </c:barChart>
      <c:catAx>
        <c:axId val="165282481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1652838735"/>
        <c:crosses val="autoZero"/>
        <c:auto val="1"/>
        <c:lblAlgn val="ctr"/>
        <c:lblOffset val="100"/>
        <c:noMultiLvlLbl val="0"/>
      </c:catAx>
      <c:valAx>
        <c:axId val="1652838735"/>
        <c:scaling>
          <c:orientation val="minMax"/>
          <c:max val="1"/>
        </c:scaling>
        <c:delete val="1"/>
        <c:axPos val="b"/>
        <c:numFmt formatCode="0%" sourceLinked="1"/>
        <c:majorTickMark val="none"/>
        <c:minorTickMark val="none"/>
        <c:tickLblPos val="nextTo"/>
        <c:crossAx val="165282481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8996640984826934"/>
          <c:y val="0.1111111111111111"/>
          <c:w val="0.47621345179661917"/>
          <c:h val="0.77777777777777779"/>
        </c:manualLayout>
      </c:layout>
      <c:barChart>
        <c:barDir val="bar"/>
        <c:grouping val="stacked"/>
        <c:varyColors val="0"/>
        <c:ser>
          <c:idx val="0"/>
          <c:order val="0"/>
          <c:tx>
            <c:strRef>
              <c:f>'Progress Tracker'!$B$22</c:f>
              <c:strCache>
                <c:ptCount val="1"/>
                <c:pt idx="0">
                  <c:v>Progress as on December 2024</c:v>
                </c:pt>
              </c:strCache>
            </c:strRef>
          </c:tx>
          <c:spPr>
            <a:solidFill>
              <a:srgbClr val="9CA71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'Progress Tracker'!$A$23:$A$25</c15:sqref>
                  </c15:fullRef>
                </c:ext>
              </c:extLst>
              <c:f>'Progress Tracker'!$A$24</c:f>
              <c:strCache>
                <c:ptCount val="1"/>
                <c:pt idx="0">
                  <c:v>Percentage of loan proceeds for individual women(Target 50%)</c:v>
                </c:pt>
              </c:strCache>
            </c:strRef>
          </c:cat>
          <c:val>
            <c:numRef>
              <c:extLst>
                <c:ext xmlns:c15="http://schemas.microsoft.com/office/drawing/2012/chart" uri="{02D57815-91ED-43cb-92C2-25804820EDAC}">
                  <c15:fullRef>
                    <c15:sqref>'Progress Tracker'!$B$23:$B$25</c15:sqref>
                  </c15:fullRef>
                </c:ext>
              </c:extLst>
              <c:f>'Progress Tracker'!$B$24</c:f>
              <c:numCache>
                <c:formatCode>0%</c:formatCode>
                <c:ptCount val="1"/>
                <c:pt idx="0">
                  <c:v>0.68571428571428572</c:v>
                </c:pt>
              </c:numCache>
            </c:numRef>
          </c:val>
          <c:extLst>
            <c:ext xmlns:c16="http://schemas.microsoft.com/office/drawing/2014/chart" uri="{C3380CC4-5D6E-409C-BE32-E72D297353CC}">
              <c16:uniqueId val="{00000000-2F01-4B0A-87AF-369CEE84F1E8}"/>
            </c:ext>
          </c:extLst>
        </c:ser>
        <c:ser>
          <c:idx val="1"/>
          <c:order val="1"/>
          <c:tx>
            <c:strRef>
              <c:f>'Progress Tracker'!$C$22</c:f>
              <c:strCache>
                <c:ptCount val="1"/>
                <c:pt idx="0">
                  <c:v>Remaining</c:v>
                </c:pt>
              </c:strCache>
            </c:strRef>
          </c:tx>
          <c:spPr>
            <a:solidFill>
              <a:srgbClr val="C6CCA1"/>
            </a:solidFill>
            <a:ln>
              <a:noFill/>
            </a:ln>
            <a:effectLst/>
          </c:spPr>
          <c:invertIfNegative val="0"/>
          <c:cat>
            <c:strRef>
              <c:extLst>
                <c:ext xmlns:c15="http://schemas.microsoft.com/office/drawing/2012/chart" uri="{02D57815-91ED-43cb-92C2-25804820EDAC}">
                  <c15:fullRef>
                    <c15:sqref>'Progress Tracker'!$A$23:$A$25</c15:sqref>
                  </c15:fullRef>
                </c:ext>
              </c:extLst>
              <c:f>'Progress Tracker'!$A$24</c:f>
              <c:strCache>
                <c:ptCount val="1"/>
                <c:pt idx="0">
                  <c:v>Percentage of loan proceeds for individual women(Target 50%)</c:v>
                </c:pt>
              </c:strCache>
            </c:strRef>
          </c:cat>
          <c:val>
            <c:numRef>
              <c:extLst>
                <c:ext xmlns:c15="http://schemas.microsoft.com/office/drawing/2012/chart" uri="{02D57815-91ED-43cb-92C2-25804820EDAC}">
                  <c15:fullRef>
                    <c15:sqref>'Progress Tracker'!$C$23:$C$25</c15:sqref>
                  </c15:fullRef>
                </c:ext>
              </c:extLst>
              <c:f>'Progress Tracker'!$C$24</c:f>
              <c:numCache>
                <c:formatCode>0%</c:formatCode>
                <c:ptCount val="1"/>
                <c:pt idx="0">
                  <c:v>0.31428571428571428</c:v>
                </c:pt>
              </c:numCache>
            </c:numRef>
          </c:val>
          <c:extLst>
            <c:ext xmlns:c16="http://schemas.microsoft.com/office/drawing/2014/chart" uri="{C3380CC4-5D6E-409C-BE32-E72D297353CC}">
              <c16:uniqueId val="{00000001-2F01-4B0A-87AF-369CEE84F1E8}"/>
            </c:ext>
          </c:extLst>
        </c:ser>
        <c:dLbls>
          <c:showLegendKey val="0"/>
          <c:showVal val="0"/>
          <c:showCatName val="0"/>
          <c:showSerName val="0"/>
          <c:showPercent val="0"/>
          <c:showBubbleSize val="0"/>
        </c:dLbls>
        <c:gapWidth val="150"/>
        <c:overlap val="100"/>
        <c:axId val="1652824815"/>
        <c:axId val="1652838735"/>
      </c:barChart>
      <c:catAx>
        <c:axId val="165282481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1652838735"/>
        <c:crosses val="autoZero"/>
        <c:auto val="1"/>
        <c:lblAlgn val="ctr"/>
        <c:lblOffset val="100"/>
        <c:noMultiLvlLbl val="0"/>
      </c:catAx>
      <c:valAx>
        <c:axId val="1652838735"/>
        <c:scaling>
          <c:orientation val="minMax"/>
          <c:max val="1"/>
        </c:scaling>
        <c:delete val="1"/>
        <c:axPos val="b"/>
        <c:numFmt formatCode="0%" sourceLinked="1"/>
        <c:majorTickMark val="none"/>
        <c:minorTickMark val="none"/>
        <c:tickLblPos val="nextTo"/>
        <c:crossAx val="165282481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8996640984826934"/>
          <c:y val="0.1111111111111111"/>
          <c:w val="0.47621345179661917"/>
          <c:h val="0.77777777777777779"/>
        </c:manualLayout>
      </c:layout>
      <c:barChart>
        <c:barDir val="bar"/>
        <c:grouping val="stacked"/>
        <c:varyColors val="0"/>
        <c:ser>
          <c:idx val="0"/>
          <c:order val="0"/>
          <c:tx>
            <c:strRef>
              <c:f>'Progress Tracker'!$B$22</c:f>
              <c:strCache>
                <c:ptCount val="1"/>
                <c:pt idx="0">
                  <c:v>Progress as on December 2024</c:v>
                </c:pt>
              </c:strCache>
            </c:strRef>
          </c:tx>
          <c:spPr>
            <a:solidFill>
              <a:srgbClr val="9CA71C"/>
            </a:solidFill>
            <a:ln>
              <a:noFill/>
            </a:ln>
            <a:effectLst/>
          </c:spPr>
          <c:invertIfNegative val="0"/>
          <c:cat>
            <c:strRef>
              <c:extLst>
                <c:ext xmlns:c15="http://schemas.microsoft.com/office/drawing/2012/chart" uri="{02D57815-91ED-43cb-92C2-25804820EDAC}">
                  <c15:fullRef>
                    <c15:sqref>'Progress Tracker'!$A$23:$A$25</c15:sqref>
                  </c15:fullRef>
                </c:ext>
              </c:extLst>
              <c:f>'Progress Tracker'!$A$25</c:f>
              <c:strCache>
                <c:ptCount val="1"/>
                <c:pt idx="0">
                  <c:v>Percentage of women loan officers hired in last 12 months(Target 30%)</c:v>
                </c:pt>
              </c:strCache>
            </c:strRef>
          </c:cat>
          <c:val>
            <c:numRef>
              <c:extLst>
                <c:ext xmlns:c15="http://schemas.microsoft.com/office/drawing/2012/chart" uri="{02D57815-91ED-43cb-92C2-25804820EDAC}">
                  <c15:fullRef>
                    <c15:sqref>'Progress Tracker'!$B$23:$B$25</c15:sqref>
                  </c15:fullRef>
                </c:ext>
              </c:extLst>
              <c:f>'Progress Tracker'!$B$25</c:f>
              <c:numCache>
                <c:formatCode>0%</c:formatCode>
                <c:ptCount val="1"/>
                <c:pt idx="0">
                  <c:v>0</c:v>
                </c:pt>
              </c:numCache>
            </c:numRef>
          </c:val>
          <c:extLst>
            <c:ext xmlns:c16="http://schemas.microsoft.com/office/drawing/2014/chart" uri="{C3380CC4-5D6E-409C-BE32-E72D297353CC}">
              <c16:uniqueId val="{00000000-B8C6-4513-B155-472A47D94B39}"/>
            </c:ext>
          </c:extLst>
        </c:ser>
        <c:ser>
          <c:idx val="1"/>
          <c:order val="1"/>
          <c:tx>
            <c:strRef>
              <c:f>'Progress Tracker'!$C$22</c:f>
              <c:strCache>
                <c:ptCount val="1"/>
                <c:pt idx="0">
                  <c:v>Remaining</c:v>
                </c:pt>
              </c:strCache>
            </c:strRef>
          </c:tx>
          <c:spPr>
            <a:solidFill>
              <a:srgbClr val="C6CCA1"/>
            </a:solidFill>
            <a:ln>
              <a:noFill/>
            </a:ln>
            <a:effectLst/>
          </c:spPr>
          <c:invertIfNegative val="0"/>
          <c:cat>
            <c:strRef>
              <c:extLst>
                <c:ext xmlns:c15="http://schemas.microsoft.com/office/drawing/2012/chart" uri="{02D57815-91ED-43cb-92C2-25804820EDAC}">
                  <c15:fullRef>
                    <c15:sqref>'Progress Tracker'!$A$23:$A$25</c15:sqref>
                  </c15:fullRef>
                </c:ext>
              </c:extLst>
              <c:f>'Progress Tracker'!$A$25</c:f>
              <c:strCache>
                <c:ptCount val="1"/>
                <c:pt idx="0">
                  <c:v>Percentage of women loan officers hired in last 12 months(Target 30%)</c:v>
                </c:pt>
              </c:strCache>
            </c:strRef>
          </c:cat>
          <c:val>
            <c:numRef>
              <c:extLst>
                <c:ext xmlns:c15="http://schemas.microsoft.com/office/drawing/2012/chart" uri="{02D57815-91ED-43cb-92C2-25804820EDAC}">
                  <c15:fullRef>
                    <c15:sqref>'Progress Tracker'!$C$23:$C$25</c15:sqref>
                  </c15:fullRef>
                </c:ext>
              </c:extLst>
              <c:f>'Progress Tracker'!$C$25</c:f>
              <c:numCache>
                <c:formatCode>0%</c:formatCode>
                <c:ptCount val="1"/>
                <c:pt idx="0">
                  <c:v>0</c:v>
                </c:pt>
              </c:numCache>
            </c:numRef>
          </c:val>
          <c:extLst>
            <c:ext xmlns:c16="http://schemas.microsoft.com/office/drawing/2014/chart" uri="{C3380CC4-5D6E-409C-BE32-E72D297353CC}">
              <c16:uniqueId val="{00000001-B8C6-4513-B155-472A47D94B39}"/>
            </c:ext>
          </c:extLst>
        </c:ser>
        <c:dLbls>
          <c:showLegendKey val="0"/>
          <c:showVal val="0"/>
          <c:showCatName val="0"/>
          <c:showSerName val="0"/>
          <c:showPercent val="0"/>
          <c:showBubbleSize val="0"/>
        </c:dLbls>
        <c:gapWidth val="150"/>
        <c:overlap val="100"/>
        <c:axId val="1652824815"/>
        <c:axId val="1652838735"/>
      </c:barChart>
      <c:catAx>
        <c:axId val="165282481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1652838735"/>
        <c:crosses val="autoZero"/>
        <c:auto val="1"/>
        <c:lblAlgn val="ctr"/>
        <c:lblOffset val="100"/>
        <c:noMultiLvlLbl val="0"/>
      </c:catAx>
      <c:valAx>
        <c:axId val="1652838735"/>
        <c:scaling>
          <c:orientation val="minMax"/>
          <c:max val="1"/>
        </c:scaling>
        <c:delete val="1"/>
        <c:axPos val="b"/>
        <c:numFmt formatCode="0%" sourceLinked="1"/>
        <c:majorTickMark val="none"/>
        <c:minorTickMark val="none"/>
        <c:tickLblPos val="nextTo"/>
        <c:crossAx val="165282481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9286682919176639"/>
          <c:y val="2.6315789473684209E-2"/>
          <c:w val="0.48879856864985149"/>
          <c:h val="0.92105263157894735"/>
        </c:manualLayout>
      </c:layout>
      <c:barChart>
        <c:barDir val="bar"/>
        <c:grouping val="stacked"/>
        <c:varyColors val="0"/>
        <c:ser>
          <c:idx val="0"/>
          <c:order val="0"/>
          <c:tx>
            <c:strRef>
              <c:f>'Progress Tracker'!$B$10</c:f>
              <c:strCache>
                <c:ptCount val="1"/>
                <c:pt idx="0">
                  <c:v>Progress as on December 2024</c:v>
                </c:pt>
              </c:strCache>
            </c:strRef>
          </c:tx>
          <c:spPr>
            <a:solidFill>
              <a:srgbClr val="9CA71C"/>
            </a:solidFill>
            <a:ln>
              <a:noFill/>
            </a:ln>
            <a:effectLst/>
          </c:spPr>
          <c:invertIfNegative val="0"/>
          <c:cat>
            <c:strRef>
              <c:extLst>
                <c:ext xmlns:c15="http://schemas.microsoft.com/office/drawing/2012/chart" uri="{02D57815-91ED-43cb-92C2-25804820EDAC}">
                  <c15:fullRef>
                    <c15:sqref>'Progress Tracker'!$A$11:$A$14</c15:sqref>
                  </c15:fullRef>
                </c:ext>
              </c:extLst>
              <c:f>'Progress Tracker'!$A$13</c:f>
              <c:strCache>
                <c:ptCount val="1"/>
                <c:pt idx="0">
                  <c:v>Ratio of women is to men promoted to senior management in past 2 years</c:v>
                </c:pt>
              </c:strCache>
            </c:strRef>
          </c:cat>
          <c:val>
            <c:numRef>
              <c:extLst>
                <c:ext xmlns:c15="http://schemas.microsoft.com/office/drawing/2012/chart" uri="{02D57815-91ED-43cb-92C2-25804820EDAC}">
                  <c15:fullRef>
                    <c15:sqref>'Progress Tracker'!$B$11:$B$14</c15:sqref>
                  </c15:fullRef>
                </c:ext>
              </c:extLst>
              <c:f>'Progress Tracker'!$B$13</c:f>
              <c:numCache>
                <c:formatCode>0%</c:formatCode>
                <c:ptCount val="1"/>
                <c:pt idx="0">
                  <c:v>0</c:v>
                </c:pt>
              </c:numCache>
            </c:numRef>
          </c:val>
          <c:extLst>
            <c:ext xmlns:c16="http://schemas.microsoft.com/office/drawing/2014/chart" uri="{C3380CC4-5D6E-409C-BE32-E72D297353CC}">
              <c16:uniqueId val="{00000000-CC20-45DC-B3CF-00E17AA97267}"/>
            </c:ext>
          </c:extLst>
        </c:ser>
        <c:ser>
          <c:idx val="1"/>
          <c:order val="1"/>
          <c:tx>
            <c:strRef>
              <c:f>'Progress Tracker'!$C$10</c:f>
              <c:strCache>
                <c:ptCount val="1"/>
                <c:pt idx="0">
                  <c:v>Remaining</c:v>
                </c:pt>
              </c:strCache>
            </c:strRef>
          </c:tx>
          <c:spPr>
            <a:solidFill>
              <a:srgbClr val="C6CCA1"/>
            </a:solidFill>
            <a:ln>
              <a:noFill/>
            </a:ln>
            <a:effectLst/>
          </c:spPr>
          <c:invertIfNegative val="0"/>
          <c:cat>
            <c:strRef>
              <c:extLst>
                <c:ext xmlns:c15="http://schemas.microsoft.com/office/drawing/2012/chart" uri="{02D57815-91ED-43cb-92C2-25804820EDAC}">
                  <c15:fullRef>
                    <c15:sqref>'Progress Tracker'!$A$11:$A$14</c15:sqref>
                  </c15:fullRef>
                </c:ext>
              </c:extLst>
              <c:f>'Progress Tracker'!$A$13</c:f>
              <c:strCache>
                <c:ptCount val="1"/>
                <c:pt idx="0">
                  <c:v>Ratio of women is to men promoted to senior management in past 2 years</c:v>
                </c:pt>
              </c:strCache>
            </c:strRef>
          </c:cat>
          <c:val>
            <c:numRef>
              <c:extLst>
                <c:ext xmlns:c15="http://schemas.microsoft.com/office/drawing/2012/chart" uri="{02D57815-91ED-43cb-92C2-25804820EDAC}">
                  <c15:fullRef>
                    <c15:sqref>'Progress Tracker'!$C$11:$C$14</c15:sqref>
                  </c15:fullRef>
                </c:ext>
              </c:extLst>
              <c:f>'Progress Tracker'!$C$13</c:f>
              <c:numCache>
                <c:formatCode>0%</c:formatCode>
                <c:ptCount val="1"/>
                <c:pt idx="0">
                  <c:v>1</c:v>
                </c:pt>
              </c:numCache>
            </c:numRef>
          </c:val>
          <c:extLst>
            <c:ext xmlns:c16="http://schemas.microsoft.com/office/drawing/2014/chart" uri="{C3380CC4-5D6E-409C-BE32-E72D297353CC}">
              <c16:uniqueId val="{00000001-CC20-45DC-B3CF-00E17AA97267}"/>
            </c:ext>
          </c:extLst>
        </c:ser>
        <c:dLbls>
          <c:showLegendKey val="0"/>
          <c:showVal val="0"/>
          <c:showCatName val="0"/>
          <c:showSerName val="0"/>
          <c:showPercent val="0"/>
          <c:showBubbleSize val="0"/>
        </c:dLbls>
        <c:gapWidth val="150"/>
        <c:overlap val="100"/>
        <c:axId val="2021466736"/>
        <c:axId val="2021467696"/>
      </c:barChart>
      <c:catAx>
        <c:axId val="202146673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2021467696"/>
        <c:crosses val="autoZero"/>
        <c:auto val="1"/>
        <c:lblAlgn val="ctr"/>
        <c:lblOffset val="100"/>
        <c:noMultiLvlLbl val="0"/>
      </c:catAx>
      <c:valAx>
        <c:axId val="2021467696"/>
        <c:scaling>
          <c:orientation val="minMax"/>
          <c:max val="1"/>
        </c:scaling>
        <c:delete val="1"/>
        <c:axPos val="b"/>
        <c:numFmt formatCode="0%" sourceLinked="1"/>
        <c:majorTickMark val="none"/>
        <c:minorTickMark val="none"/>
        <c:tickLblPos val="nextTo"/>
        <c:crossAx val="20214667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9286682919176639"/>
          <c:y val="2.6315789473684209E-2"/>
          <c:w val="0.48879856864985149"/>
          <c:h val="0.92105263157894735"/>
        </c:manualLayout>
      </c:layout>
      <c:barChart>
        <c:barDir val="bar"/>
        <c:grouping val="stacked"/>
        <c:varyColors val="0"/>
        <c:ser>
          <c:idx val="0"/>
          <c:order val="0"/>
          <c:tx>
            <c:strRef>
              <c:f>'Progress Tracker'!$B$10</c:f>
              <c:strCache>
                <c:ptCount val="1"/>
                <c:pt idx="0">
                  <c:v>Progress as on December 2024</c:v>
                </c:pt>
              </c:strCache>
            </c:strRef>
          </c:tx>
          <c:spPr>
            <a:solidFill>
              <a:srgbClr val="9CA71C"/>
            </a:solidFill>
            <a:ln>
              <a:noFill/>
            </a:ln>
            <a:effectLst/>
          </c:spPr>
          <c:invertIfNegative val="0"/>
          <c:dLbls>
            <c:dLbl>
              <c:idx val="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1"/>
              <c:showPercent val="0"/>
              <c:showBubbleSize val="0"/>
              <c:extLst>
                <c:ext xmlns:c16="http://schemas.microsoft.com/office/drawing/2014/chart" uri="{C3380CC4-5D6E-409C-BE32-E72D297353CC}">
                  <c16:uniqueId val="{00000002-EF6E-441C-B1CC-1F16CA8DA13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'Progress Tracker'!$A$11:$A$14</c15:sqref>
                  </c15:fullRef>
                </c:ext>
              </c:extLst>
              <c:f>'Progress Tracker'!$A$14</c:f>
              <c:strCache>
                <c:ptCount val="1"/>
                <c:pt idx="0">
                  <c:v>Ratio of women is to men promoted to middle management in past 2 years</c:v>
                </c:pt>
              </c:strCache>
            </c:strRef>
          </c:cat>
          <c:val>
            <c:numRef>
              <c:extLst>
                <c:ext xmlns:c15="http://schemas.microsoft.com/office/drawing/2012/chart" uri="{02D57815-91ED-43cb-92C2-25804820EDAC}">
                  <c15:fullRef>
                    <c15:sqref>'Progress Tracker'!$B$11:$B$14</c15:sqref>
                  </c15:fullRef>
                </c:ext>
              </c:extLst>
              <c:f>'Progress Tracker'!$B$14</c:f>
              <c:numCache>
                <c:formatCode>0%</c:formatCode>
                <c:ptCount val="1"/>
                <c:pt idx="0">
                  <c:v>1</c:v>
                </c:pt>
              </c:numCache>
            </c:numRef>
          </c:val>
          <c:extLst>
            <c:ext xmlns:c16="http://schemas.microsoft.com/office/drawing/2014/chart" uri="{C3380CC4-5D6E-409C-BE32-E72D297353CC}">
              <c16:uniqueId val="{00000000-EF6E-441C-B1CC-1F16CA8DA138}"/>
            </c:ext>
          </c:extLst>
        </c:ser>
        <c:ser>
          <c:idx val="1"/>
          <c:order val="1"/>
          <c:tx>
            <c:strRef>
              <c:f>'Progress Tracker'!$C$10</c:f>
              <c:strCache>
                <c:ptCount val="1"/>
                <c:pt idx="0">
                  <c:v>Remaining</c:v>
                </c:pt>
              </c:strCache>
            </c:strRef>
          </c:tx>
          <c:spPr>
            <a:solidFill>
              <a:srgbClr val="C6CCA1"/>
            </a:solidFill>
            <a:ln>
              <a:noFill/>
            </a:ln>
            <a:effectLst/>
          </c:spPr>
          <c:invertIfNegative val="0"/>
          <c:cat>
            <c:strRef>
              <c:extLst>
                <c:ext xmlns:c15="http://schemas.microsoft.com/office/drawing/2012/chart" uri="{02D57815-91ED-43cb-92C2-25804820EDAC}">
                  <c15:fullRef>
                    <c15:sqref>'Progress Tracker'!$A$11:$A$14</c15:sqref>
                  </c15:fullRef>
                </c:ext>
              </c:extLst>
              <c:f>'Progress Tracker'!$A$14</c:f>
              <c:strCache>
                <c:ptCount val="1"/>
                <c:pt idx="0">
                  <c:v>Ratio of women is to men promoted to middle management in past 2 years</c:v>
                </c:pt>
              </c:strCache>
            </c:strRef>
          </c:cat>
          <c:val>
            <c:numRef>
              <c:extLst>
                <c:ext xmlns:c15="http://schemas.microsoft.com/office/drawing/2012/chart" uri="{02D57815-91ED-43cb-92C2-25804820EDAC}">
                  <c15:fullRef>
                    <c15:sqref>'Progress Tracker'!$C$11:$C$14</c15:sqref>
                  </c15:fullRef>
                </c:ext>
              </c:extLst>
              <c:f>'Progress Tracker'!$C$14</c:f>
              <c:numCache>
                <c:formatCode>0%</c:formatCode>
                <c:ptCount val="1"/>
                <c:pt idx="0">
                  <c:v>0</c:v>
                </c:pt>
              </c:numCache>
            </c:numRef>
          </c:val>
          <c:extLst>
            <c:ext xmlns:c16="http://schemas.microsoft.com/office/drawing/2014/chart" uri="{C3380CC4-5D6E-409C-BE32-E72D297353CC}">
              <c16:uniqueId val="{00000001-EF6E-441C-B1CC-1F16CA8DA138}"/>
            </c:ext>
          </c:extLst>
        </c:ser>
        <c:dLbls>
          <c:showLegendKey val="0"/>
          <c:showVal val="0"/>
          <c:showCatName val="0"/>
          <c:showSerName val="0"/>
          <c:showPercent val="0"/>
          <c:showBubbleSize val="0"/>
        </c:dLbls>
        <c:gapWidth val="150"/>
        <c:overlap val="100"/>
        <c:axId val="2021466736"/>
        <c:axId val="2021467696"/>
      </c:barChart>
      <c:catAx>
        <c:axId val="202146673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2021467696"/>
        <c:crosses val="autoZero"/>
        <c:auto val="1"/>
        <c:lblAlgn val="ctr"/>
        <c:lblOffset val="100"/>
        <c:noMultiLvlLbl val="0"/>
      </c:catAx>
      <c:valAx>
        <c:axId val="2021467696"/>
        <c:scaling>
          <c:orientation val="minMax"/>
          <c:max val="1"/>
        </c:scaling>
        <c:delete val="1"/>
        <c:axPos val="b"/>
        <c:numFmt formatCode="0%" sourceLinked="1"/>
        <c:majorTickMark val="none"/>
        <c:minorTickMark val="none"/>
        <c:tickLblPos val="nextTo"/>
        <c:crossAx val="20214667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lvl="0">
              <a:defRPr b="0">
                <a:solidFill>
                  <a:srgbClr val="757575"/>
                </a:solidFill>
                <a:latin typeface="+mn-lt"/>
              </a:defRPr>
            </a:pPr>
            <a:r>
              <a:rPr b="0">
                <a:solidFill>
                  <a:srgbClr val="757575"/>
                </a:solidFill>
                <a:latin typeface="+mn-lt"/>
              </a:rPr>
              <a:t>Employee Gender</a:t>
            </a:r>
          </a:p>
        </c:rich>
      </c:tx>
      <c:overlay val="0"/>
    </c:title>
    <c:autoTitleDeleted val="0"/>
    <c:plotArea>
      <c:layout/>
      <c:pieChart>
        <c:varyColors val="1"/>
        <c:ser>
          <c:idx val="0"/>
          <c:order val="0"/>
          <c:tx>
            <c:strRef>
              <c:f>'Pivot Table 3'!$B$1</c:f>
              <c:strCache>
                <c:ptCount val="1"/>
                <c:pt idx="0">
                  <c:v>COUNT of Salary</c:v>
                </c:pt>
              </c:strCache>
            </c:strRef>
          </c:tx>
          <c:dPt>
            <c:idx val="0"/>
            <c:bubble3D val="0"/>
            <c:spPr>
              <a:solidFill>
                <a:srgbClr val="4285F4"/>
              </a:solidFill>
            </c:spPr>
            <c:extLst>
              <c:ext xmlns:c16="http://schemas.microsoft.com/office/drawing/2014/chart" uri="{C3380CC4-5D6E-409C-BE32-E72D297353CC}">
                <c16:uniqueId val="{00000001-5D1E-4831-8398-7F38229D24C7}"/>
              </c:ext>
            </c:extLst>
          </c:dPt>
          <c:dPt>
            <c:idx val="1"/>
            <c:bubble3D val="0"/>
            <c:spPr>
              <a:solidFill>
                <a:srgbClr val="EA4335"/>
              </a:solidFill>
            </c:spPr>
            <c:extLst>
              <c:ext xmlns:c16="http://schemas.microsoft.com/office/drawing/2014/chart" uri="{C3380CC4-5D6E-409C-BE32-E72D297353CC}">
                <c16:uniqueId val="{00000003-5D1E-4831-8398-7F38229D24C7}"/>
              </c:ext>
            </c:extLst>
          </c:dPt>
          <c:cat>
            <c:strRef>
              <c:f>'Pivot Table 3'!$A$2:$A$3</c:f>
              <c:strCache>
                <c:ptCount val="2"/>
                <c:pt idx="0">
                  <c:v>F</c:v>
                </c:pt>
                <c:pt idx="1">
                  <c:v>M</c:v>
                </c:pt>
              </c:strCache>
            </c:strRef>
          </c:cat>
          <c:val>
            <c:numRef>
              <c:f>'Pivot Table 3'!$B$2:$B$3</c:f>
              <c:numCache>
                <c:formatCode>General</c:formatCode>
                <c:ptCount val="2"/>
                <c:pt idx="0">
                  <c:v>6</c:v>
                </c:pt>
                <c:pt idx="1">
                  <c:v>1</c:v>
                </c:pt>
              </c:numCache>
            </c:numRef>
          </c:val>
          <c:extLst>
            <c:ext xmlns:c16="http://schemas.microsoft.com/office/drawing/2014/chart" uri="{C3380CC4-5D6E-409C-BE32-E72D297353CC}">
              <c16:uniqueId val="{00000004-5D1E-4831-8398-7F38229D24C7}"/>
            </c:ext>
          </c:extLst>
        </c:ser>
        <c:dLbls>
          <c:showLegendKey val="0"/>
          <c:showVal val="0"/>
          <c:showCatName val="0"/>
          <c:showSerName val="0"/>
          <c:showPercent val="0"/>
          <c:showBubbleSize val="0"/>
          <c:showLeaderLines val="1"/>
        </c:dLbls>
        <c:firstSliceAng val="0"/>
      </c:pieChart>
    </c:plotArea>
    <c:legend>
      <c:legendPos val="r"/>
      <c:overlay val="0"/>
      <c:txPr>
        <a:bodyPr/>
        <a:lstStyle/>
        <a:p>
          <a:pPr lvl="0">
            <a:defRPr b="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lvl="0">
              <a:defRPr b="1">
                <a:solidFill>
                  <a:srgbClr val="757575"/>
                </a:solidFill>
                <a:latin typeface="+mn-lt"/>
              </a:defRPr>
            </a:pPr>
            <a:r>
              <a:rPr b="1">
                <a:solidFill>
                  <a:srgbClr val="757575"/>
                </a:solidFill>
                <a:latin typeface="+mn-lt"/>
              </a:rPr>
              <a:t>Avg. Loan Size (by gender)</a:t>
            </a:r>
          </a:p>
        </c:rich>
      </c:tx>
      <c:overlay val="0"/>
    </c:title>
    <c:autoTitleDeleted val="0"/>
    <c:plotArea>
      <c:layout/>
      <c:barChart>
        <c:barDir val="col"/>
        <c:grouping val="clustered"/>
        <c:varyColors val="1"/>
        <c:ser>
          <c:idx val="0"/>
          <c:order val="0"/>
          <c:tx>
            <c:strRef>
              <c:f>'Pivot Table 2'!$B$1</c:f>
              <c:strCache>
                <c:ptCount val="1"/>
                <c:pt idx="0">
                  <c:v>(All)</c:v>
                </c:pt>
              </c:strCache>
            </c:strRef>
          </c:tx>
          <c:spPr>
            <a:solidFill>
              <a:srgbClr val="4285F4"/>
            </a:solidFill>
            <a:ln cmpd="sng">
              <a:solidFill>
                <a:srgbClr val="000000"/>
              </a:solidFill>
            </a:ln>
          </c:spPr>
          <c:invertIfNegative val="1"/>
          <c:cat>
            <c:strRef>
              <c:f>'Pivot Table 2'!$A$2:$A$4</c:f>
              <c:strCache>
                <c:ptCount val="1"/>
                <c:pt idx="0">
                  <c:v>Client Name</c:v>
                </c:pt>
              </c:strCache>
            </c:strRef>
          </c:cat>
          <c:val>
            <c:numRef>
              <c:f>'Pivot Table 2'!$B$2:$B$4</c:f>
              <c:numCache>
                <c:formatCode>General</c:formatCode>
                <c:ptCount val="3"/>
                <c:pt idx="0">
                  <c:v>0</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ABF3-46EE-AA70-32BD1872E3FA}"/>
            </c:ext>
          </c:extLst>
        </c:ser>
        <c:ser>
          <c:idx val="1"/>
          <c:order val="1"/>
          <c:tx>
            <c:strRef>
              <c:f>'Pivot Table 2'!$C$1</c:f>
              <c:strCache>
                <c:ptCount val="1"/>
              </c:strCache>
            </c:strRef>
          </c:tx>
          <c:spPr>
            <a:solidFill>
              <a:srgbClr val="EA4335"/>
            </a:solidFill>
            <a:ln cmpd="sng">
              <a:solidFill>
                <a:srgbClr val="000000"/>
              </a:solidFill>
            </a:ln>
          </c:spPr>
          <c:invertIfNegative val="1"/>
          <c:cat>
            <c:strRef>
              <c:f>'Pivot Table 2'!$A$2:$A$4</c:f>
              <c:strCache>
                <c:ptCount val="1"/>
                <c:pt idx="0">
                  <c:v>Client Name</c:v>
                </c:pt>
              </c:strCache>
            </c:strRef>
          </c:cat>
          <c:val>
            <c:numRef>
              <c:f>'Pivot Table 2'!$C$2:$C$4</c:f>
              <c:numCache>
                <c:formatCode>General</c:formatCode>
                <c:ptCount val="3"/>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1-ABF3-46EE-AA70-32BD1872E3FA}"/>
            </c:ext>
          </c:extLst>
        </c:ser>
        <c:dLbls>
          <c:showLegendKey val="0"/>
          <c:showVal val="0"/>
          <c:showCatName val="0"/>
          <c:showSerName val="0"/>
          <c:showPercent val="0"/>
          <c:showBubbleSize val="0"/>
        </c:dLbls>
        <c:gapWidth val="150"/>
        <c:axId val="1057848551"/>
        <c:axId val="764421328"/>
      </c:barChart>
      <c:catAx>
        <c:axId val="105784855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Gender</a:t>
                </a: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764421328"/>
        <c:crosses val="autoZero"/>
        <c:auto val="1"/>
        <c:lblAlgn val="ctr"/>
        <c:lblOffset val="100"/>
        <c:noMultiLvlLbl val="1"/>
      </c:catAx>
      <c:valAx>
        <c:axId val="764421328"/>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1057848551"/>
        <c:crosses val="autoZero"/>
        <c:crossBetween val="between"/>
      </c:valAx>
    </c:plotArea>
    <c:legend>
      <c:legendPos val="r"/>
      <c:overlay val="0"/>
      <c:txPr>
        <a:bodyPr/>
        <a:lstStyle/>
        <a:p>
          <a:pPr lvl="0">
            <a:defRPr b="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8" Type="http://schemas.openxmlformats.org/officeDocument/2006/relationships/chart" Target="../charts/chart16.xml"/><Relationship Id="rId13" Type="http://schemas.openxmlformats.org/officeDocument/2006/relationships/chart" Target="../charts/chart21.xml"/><Relationship Id="rId18" Type="http://schemas.openxmlformats.org/officeDocument/2006/relationships/chart" Target="../charts/chart26.xml"/><Relationship Id="rId3" Type="http://schemas.openxmlformats.org/officeDocument/2006/relationships/chart" Target="../charts/chart11.xml"/><Relationship Id="rId7" Type="http://schemas.openxmlformats.org/officeDocument/2006/relationships/chart" Target="../charts/chart15.xml"/><Relationship Id="rId12" Type="http://schemas.openxmlformats.org/officeDocument/2006/relationships/chart" Target="../charts/chart20.xml"/><Relationship Id="rId17" Type="http://schemas.openxmlformats.org/officeDocument/2006/relationships/chart" Target="../charts/chart25.xml"/><Relationship Id="rId2" Type="http://schemas.openxmlformats.org/officeDocument/2006/relationships/chart" Target="../charts/chart10.xml"/><Relationship Id="rId16" Type="http://schemas.openxmlformats.org/officeDocument/2006/relationships/chart" Target="../charts/chart24.xml"/><Relationship Id="rId1" Type="http://schemas.openxmlformats.org/officeDocument/2006/relationships/chart" Target="../charts/chart9.xml"/><Relationship Id="rId6" Type="http://schemas.openxmlformats.org/officeDocument/2006/relationships/chart" Target="../charts/chart14.xml"/><Relationship Id="rId11" Type="http://schemas.openxmlformats.org/officeDocument/2006/relationships/chart" Target="../charts/chart19.xml"/><Relationship Id="rId5" Type="http://schemas.openxmlformats.org/officeDocument/2006/relationships/chart" Target="../charts/chart13.xml"/><Relationship Id="rId15" Type="http://schemas.openxmlformats.org/officeDocument/2006/relationships/chart" Target="../charts/chart23.xml"/><Relationship Id="rId10" Type="http://schemas.openxmlformats.org/officeDocument/2006/relationships/chart" Target="../charts/chart18.xml"/><Relationship Id="rId19" Type="http://schemas.openxmlformats.org/officeDocument/2006/relationships/chart" Target="../charts/chart27.xml"/><Relationship Id="rId4" Type="http://schemas.openxmlformats.org/officeDocument/2006/relationships/chart" Target="../charts/chart12.xml"/><Relationship Id="rId9" Type="http://schemas.openxmlformats.org/officeDocument/2006/relationships/chart" Target="../charts/chart17.xml"/><Relationship Id="rId14" Type="http://schemas.openxmlformats.org/officeDocument/2006/relationships/chart" Target="../charts/chart22.xml"/></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9.xml"/></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6350</xdr:rowOff>
    </xdr:from>
    <xdr:to>
      <xdr:col>2</xdr:col>
      <xdr:colOff>229893</xdr:colOff>
      <xdr:row>0</xdr:row>
      <xdr:rowOff>378460</xdr:rowOff>
    </xdr:to>
    <xdr:pic>
      <xdr:nvPicPr>
        <xdr:cNvPr id="4" name="Picture 1">
          <a:extLst>
            <a:ext uri="{FF2B5EF4-FFF2-40B4-BE49-F238E27FC236}">
              <a16:creationId xmlns:a16="http://schemas.microsoft.com/office/drawing/2014/main" id="{E30B3A57-1B46-6CB7-C3B5-5832540F1CAB}"/>
            </a:ext>
          </a:extLst>
        </xdr:cNvPr>
        <xdr:cNvPicPr>
          <a:picLocks noChangeAspect="1"/>
        </xdr:cNvPicPr>
      </xdr:nvPicPr>
      <xdr:blipFill>
        <a:blip xmlns:r="http://schemas.openxmlformats.org/officeDocument/2006/relationships" r:embed="rId1"/>
        <a:stretch>
          <a:fillRect/>
        </a:stretch>
      </xdr:blipFill>
      <xdr:spPr>
        <a:xfrm>
          <a:off x="152400" y="6350"/>
          <a:ext cx="1838348" cy="370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69850</xdr:colOff>
      <xdr:row>1</xdr:row>
      <xdr:rowOff>50800</xdr:rowOff>
    </xdr:from>
    <xdr:to>
      <xdr:col>11</xdr:col>
      <xdr:colOff>444500</xdr:colOff>
      <xdr:row>16</xdr:row>
      <xdr:rowOff>50800</xdr:rowOff>
    </xdr:to>
    <xdr:graphicFrame macro="">
      <xdr:nvGraphicFramePr>
        <xdr:cNvPr id="14" name="Chart 13">
          <a:extLst>
            <a:ext uri="{FF2B5EF4-FFF2-40B4-BE49-F238E27FC236}">
              <a16:creationId xmlns:a16="http://schemas.microsoft.com/office/drawing/2014/main" id="{AE022F01-86D2-4A93-7EF4-10B15F1391B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238125</xdr:colOff>
      <xdr:row>18</xdr:row>
      <xdr:rowOff>47625</xdr:rowOff>
    </xdr:from>
    <xdr:to>
      <xdr:col>9</xdr:col>
      <xdr:colOff>101600</xdr:colOff>
      <xdr:row>29</xdr:row>
      <xdr:rowOff>19050</xdr:rowOff>
    </xdr:to>
    <xdr:graphicFrame macro="">
      <xdr:nvGraphicFramePr>
        <xdr:cNvPr id="17" name="Chart 16">
          <a:extLst>
            <a:ext uri="{FF2B5EF4-FFF2-40B4-BE49-F238E27FC236}">
              <a16:creationId xmlns:a16="http://schemas.microsoft.com/office/drawing/2014/main" id="{BA53F559-8C63-F8F9-743A-DE60C0B8520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98425</xdr:colOff>
      <xdr:row>31</xdr:row>
      <xdr:rowOff>44451</xdr:rowOff>
    </xdr:from>
    <xdr:to>
      <xdr:col>10</xdr:col>
      <xdr:colOff>527050</xdr:colOff>
      <xdr:row>45</xdr:row>
      <xdr:rowOff>127000</xdr:rowOff>
    </xdr:to>
    <xdr:graphicFrame macro="">
      <xdr:nvGraphicFramePr>
        <xdr:cNvPr id="18" name="Chart 17">
          <a:extLst>
            <a:ext uri="{FF2B5EF4-FFF2-40B4-BE49-F238E27FC236}">
              <a16:creationId xmlns:a16="http://schemas.microsoft.com/office/drawing/2014/main" id="{342911AB-23CC-1B7D-2168-4DA3B0DBBC0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136525</xdr:colOff>
      <xdr:row>47</xdr:row>
      <xdr:rowOff>31751</xdr:rowOff>
    </xdr:from>
    <xdr:to>
      <xdr:col>10</xdr:col>
      <xdr:colOff>82550</xdr:colOff>
      <xdr:row>60</xdr:row>
      <xdr:rowOff>69850</xdr:rowOff>
    </xdr:to>
    <xdr:graphicFrame macro="">
      <xdr:nvGraphicFramePr>
        <xdr:cNvPr id="19" name="Chart 18">
          <a:extLst>
            <a:ext uri="{FF2B5EF4-FFF2-40B4-BE49-F238E27FC236}">
              <a16:creationId xmlns:a16="http://schemas.microsoft.com/office/drawing/2014/main" id="{4D61BAF1-5A15-52E4-AC91-F000F7D89D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260350</xdr:colOff>
      <xdr:row>73</xdr:row>
      <xdr:rowOff>25400</xdr:rowOff>
    </xdr:from>
    <xdr:to>
      <xdr:col>10</xdr:col>
      <xdr:colOff>406400</xdr:colOff>
      <xdr:row>87</xdr:row>
      <xdr:rowOff>146050</xdr:rowOff>
    </xdr:to>
    <xdr:graphicFrame macro="">
      <xdr:nvGraphicFramePr>
        <xdr:cNvPr id="22" name="Chart 21">
          <a:extLst>
            <a:ext uri="{FF2B5EF4-FFF2-40B4-BE49-F238E27FC236}">
              <a16:creationId xmlns:a16="http://schemas.microsoft.com/office/drawing/2014/main" id="{6637B3A7-6760-6B98-DB1D-EAE2031BDB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404283</xdr:colOff>
      <xdr:row>89</xdr:row>
      <xdr:rowOff>52916</xdr:rowOff>
    </xdr:from>
    <xdr:to>
      <xdr:col>9</xdr:col>
      <xdr:colOff>563033</xdr:colOff>
      <xdr:row>98</xdr:row>
      <xdr:rowOff>131233</xdr:rowOff>
    </xdr:to>
    <xdr:graphicFrame macro="">
      <xdr:nvGraphicFramePr>
        <xdr:cNvPr id="23" name="Chart 22">
          <a:extLst>
            <a:ext uri="{FF2B5EF4-FFF2-40B4-BE49-F238E27FC236}">
              <a16:creationId xmlns:a16="http://schemas.microsoft.com/office/drawing/2014/main" id="{12865A7B-6045-CCA9-7803-902B2DE7F49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244475</xdr:colOff>
      <xdr:row>100</xdr:row>
      <xdr:rowOff>63500</xdr:rowOff>
    </xdr:from>
    <xdr:to>
      <xdr:col>9</xdr:col>
      <xdr:colOff>431800</xdr:colOff>
      <xdr:row>110</xdr:row>
      <xdr:rowOff>50800</xdr:rowOff>
    </xdr:to>
    <xdr:graphicFrame macro="">
      <xdr:nvGraphicFramePr>
        <xdr:cNvPr id="24" name="Chart 23">
          <a:extLst>
            <a:ext uri="{FF2B5EF4-FFF2-40B4-BE49-F238E27FC236}">
              <a16:creationId xmlns:a16="http://schemas.microsoft.com/office/drawing/2014/main" id="{37A3385C-4132-7F01-9ADA-4A04DF43619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323850</xdr:colOff>
      <xdr:row>62</xdr:row>
      <xdr:rowOff>114300</xdr:rowOff>
    </xdr:from>
    <xdr:to>
      <xdr:col>9</xdr:col>
      <xdr:colOff>76200</xdr:colOff>
      <xdr:row>71</xdr:row>
      <xdr:rowOff>107950</xdr:rowOff>
    </xdr:to>
    <xdr:graphicFrame macro="">
      <xdr:nvGraphicFramePr>
        <xdr:cNvPr id="2" name="Chart 1">
          <a:extLst>
            <a:ext uri="{FF2B5EF4-FFF2-40B4-BE49-F238E27FC236}">
              <a16:creationId xmlns:a16="http://schemas.microsoft.com/office/drawing/2014/main" id="{A018B670-2D49-1906-9F94-4E92F02F236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31750</xdr:colOff>
      <xdr:row>2</xdr:row>
      <xdr:rowOff>19050</xdr:rowOff>
    </xdr:from>
    <xdr:to>
      <xdr:col>9</xdr:col>
      <xdr:colOff>514350</xdr:colOff>
      <xdr:row>3</xdr:row>
      <xdr:rowOff>25400</xdr:rowOff>
    </xdr:to>
    <xdr:graphicFrame macro="">
      <xdr:nvGraphicFramePr>
        <xdr:cNvPr id="3" name="Chart 2">
          <a:extLst>
            <a:ext uri="{FF2B5EF4-FFF2-40B4-BE49-F238E27FC236}">
              <a16:creationId xmlns:a16="http://schemas.microsoft.com/office/drawing/2014/main" id="{105C6DB5-36A0-958D-81F5-75BAD51F321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22225</xdr:colOff>
      <xdr:row>3</xdr:row>
      <xdr:rowOff>34925</xdr:rowOff>
    </xdr:from>
    <xdr:to>
      <xdr:col>9</xdr:col>
      <xdr:colOff>514350</xdr:colOff>
      <xdr:row>4</xdr:row>
      <xdr:rowOff>19050</xdr:rowOff>
    </xdr:to>
    <xdr:graphicFrame macro="">
      <xdr:nvGraphicFramePr>
        <xdr:cNvPr id="4" name="Chart 3">
          <a:extLst>
            <a:ext uri="{FF2B5EF4-FFF2-40B4-BE49-F238E27FC236}">
              <a16:creationId xmlns:a16="http://schemas.microsoft.com/office/drawing/2014/main" id="{BCF07662-7A57-606E-BD48-8171FACD6AD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31750</xdr:colOff>
      <xdr:row>4</xdr:row>
      <xdr:rowOff>25400</xdr:rowOff>
    </xdr:from>
    <xdr:to>
      <xdr:col>9</xdr:col>
      <xdr:colOff>508000</xdr:colOff>
      <xdr:row>4</xdr:row>
      <xdr:rowOff>311150</xdr:rowOff>
    </xdr:to>
    <xdr:graphicFrame macro="">
      <xdr:nvGraphicFramePr>
        <xdr:cNvPr id="5" name="Chart 4">
          <a:extLst>
            <a:ext uri="{FF2B5EF4-FFF2-40B4-BE49-F238E27FC236}">
              <a16:creationId xmlns:a16="http://schemas.microsoft.com/office/drawing/2014/main" id="{B7322698-81F0-AC09-761B-F602FA2E89B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22225</xdr:colOff>
      <xdr:row>4</xdr:row>
      <xdr:rowOff>317499</xdr:rowOff>
    </xdr:from>
    <xdr:to>
      <xdr:col>9</xdr:col>
      <xdr:colOff>495300</xdr:colOff>
      <xdr:row>6</xdr:row>
      <xdr:rowOff>44450</xdr:rowOff>
    </xdr:to>
    <xdr:graphicFrame macro="">
      <xdr:nvGraphicFramePr>
        <xdr:cNvPr id="6" name="Chart 5">
          <a:extLst>
            <a:ext uri="{FF2B5EF4-FFF2-40B4-BE49-F238E27FC236}">
              <a16:creationId xmlns:a16="http://schemas.microsoft.com/office/drawing/2014/main" id="{64FD375D-4FEF-051F-0FE3-5AA2B90A26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15875</xdr:colOff>
      <xdr:row>6</xdr:row>
      <xdr:rowOff>34925</xdr:rowOff>
    </xdr:from>
    <xdr:to>
      <xdr:col>9</xdr:col>
      <xdr:colOff>495300</xdr:colOff>
      <xdr:row>7</xdr:row>
      <xdr:rowOff>19050</xdr:rowOff>
    </xdr:to>
    <xdr:graphicFrame macro="">
      <xdr:nvGraphicFramePr>
        <xdr:cNvPr id="7" name="Chart 6">
          <a:extLst>
            <a:ext uri="{FF2B5EF4-FFF2-40B4-BE49-F238E27FC236}">
              <a16:creationId xmlns:a16="http://schemas.microsoft.com/office/drawing/2014/main" id="{C7C5A902-2DED-147F-D559-71CFD67BD2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7</xdr:row>
      <xdr:rowOff>22225</xdr:rowOff>
    </xdr:from>
    <xdr:to>
      <xdr:col>9</xdr:col>
      <xdr:colOff>495300</xdr:colOff>
      <xdr:row>8</xdr:row>
      <xdr:rowOff>0</xdr:rowOff>
    </xdr:to>
    <xdr:graphicFrame macro="">
      <xdr:nvGraphicFramePr>
        <xdr:cNvPr id="2" name="Chart 7">
          <a:extLst>
            <a:ext uri="{FF2B5EF4-FFF2-40B4-BE49-F238E27FC236}">
              <a16:creationId xmlns:a16="http://schemas.microsoft.com/office/drawing/2014/main" id="{189B01B1-BD40-1758-32AE-66E283A7D24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9525</xdr:colOff>
      <xdr:row>8</xdr:row>
      <xdr:rowOff>19050</xdr:rowOff>
    </xdr:from>
    <xdr:to>
      <xdr:col>9</xdr:col>
      <xdr:colOff>501650</xdr:colOff>
      <xdr:row>9</xdr:row>
      <xdr:rowOff>6350</xdr:rowOff>
    </xdr:to>
    <xdr:graphicFrame macro="">
      <xdr:nvGraphicFramePr>
        <xdr:cNvPr id="10" name="Chart 9">
          <a:extLst>
            <a:ext uri="{FF2B5EF4-FFF2-40B4-BE49-F238E27FC236}">
              <a16:creationId xmlns:a16="http://schemas.microsoft.com/office/drawing/2014/main" id="{229EE953-9D40-90E6-CCE7-18183346D03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3175</xdr:colOff>
      <xdr:row>10</xdr:row>
      <xdr:rowOff>19050</xdr:rowOff>
    </xdr:from>
    <xdr:to>
      <xdr:col>9</xdr:col>
      <xdr:colOff>508000</xdr:colOff>
      <xdr:row>10</xdr:row>
      <xdr:rowOff>311150</xdr:rowOff>
    </xdr:to>
    <xdr:graphicFrame macro="">
      <xdr:nvGraphicFramePr>
        <xdr:cNvPr id="11" name="Chart 10">
          <a:extLst>
            <a:ext uri="{FF2B5EF4-FFF2-40B4-BE49-F238E27FC236}">
              <a16:creationId xmlns:a16="http://schemas.microsoft.com/office/drawing/2014/main" id="{37CE1A96-3B46-C8FC-8146-6BF7CD2D9A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11</xdr:row>
      <xdr:rowOff>0</xdr:rowOff>
    </xdr:from>
    <xdr:to>
      <xdr:col>9</xdr:col>
      <xdr:colOff>504825</xdr:colOff>
      <xdr:row>11</xdr:row>
      <xdr:rowOff>292100</xdr:rowOff>
    </xdr:to>
    <xdr:graphicFrame macro="">
      <xdr:nvGraphicFramePr>
        <xdr:cNvPr id="12" name="Chart 11">
          <a:extLst>
            <a:ext uri="{FF2B5EF4-FFF2-40B4-BE49-F238E27FC236}">
              <a16:creationId xmlns:a16="http://schemas.microsoft.com/office/drawing/2014/main" id="{C2AB9432-C372-41EB-836F-6E8CF7B7D7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9525</xdr:colOff>
      <xdr:row>15</xdr:row>
      <xdr:rowOff>31750</xdr:rowOff>
    </xdr:from>
    <xdr:to>
      <xdr:col>9</xdr:col>
      <xdr:colOff>520700</xdr:colOff>
      <xdr:row>15</xdr:row>
      <xdr:rowOff>387350</xdr:rowOff>
    </xdr:to>
    <xdr:graphicFrame macro="">
      <xdr:nvGraphicFramePr>
        <xdr:cNvPr id="21" name="Chart 20">
          <a:extLst>
            <a:ext uri="{FF2B5EF4-FFF2-40B4-BE49-F238E27FC236}">
              <a16:creationId xmlns:a16="http://schemas.microsoft.com/office/drawing/2014/main" id="{BD6B0A87-A280-6E2D-77FF-83BC2FBB71D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0</xdr:colOff>
      <xdr:row>16</xdr:row>
      <xdr:rowOff>0</xdr:rowOff>
    </xdr:from>
    <xdr:to>
      <xdr:col>9</xdr:col>
      <xdr:colOff>511175</xdr:colOff>
      <xdr:row>16</xdr:row>
      <xdr:rowOff>355600</xdr:rowOff>
    </xdr:to>
    <xdr:graphicFrame macro="">
      <xdr:nvGraphicFramePr>
        <xdr:cNvPr id="22" name="Chart 21">
          <a:extLst>
            <a:ext uri="{FF2B5EF4-FFF2-40B4-BE49-F238E27FC236}">
              <a16:creationId xmlns:a16="http://schemas.microsoft.com/office/drawing/2014/main" id="{1D6E8ED9-733E-405A-BF17-F55685D3D6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3</xdr:col>
      <xdr:colOff>15875</xdr:colOff>
      <xdr:row>18</xdr:row>
      <xdr:rowOff>19050</xdr:rowOff>
    </xdr:from>
    <xdr:to>
      <xdr:col>9</xdr:col>
      <xdr:colOff>527050</xdr:colOff>
      <xdr:row>19</xdr:row>
      <xdr:rowOff>6350</xdr:rowOff>
    </xdr:to>
    <xdr:graphicFrame macro="">
      <xdr:nvGraphicFramePr>
        <xdr:cNvPr id="23" name="Chart 22">
          <a:extLst>
            <a:ext uri="{FF2B5EF4-FFF2-40B4-BE49-F238E27FC236}">
              <a16:creationId xmlns:a16="http://schemas.microsoft.com/office/drawing/2014/main" id="{CFECDCF8-9EDF-8608-17F1-F14E9E3373E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3</xdr:col>
      <xdr:colOff>0</xdr:colOff>
      <xdr:row>19</xdr:row>
      <xdr:rowOff>0</xdr:rowOff>
    </xdr:from>
    <xdr:to>
      <xdr:col>9</xdr:col>
      <xdr:colOff>511175</xdr:colOff>
      <xdr:row>19</xdr:row>
      <xdr:rowOff>304800</xdr:rowOff>
    </xdr:to>
    <xdr:graphicFrame macro="">
      <xdr:nvGraphicFramePr>
        <xdr:cNvPr id="24" name="Chart 23">
          <a:extLst>
            <a:ext uri="{FF2B5EF4-FFF2-40B4-BE49-F238E27FC236}">
              <a16:creationId xmlns:a16="http://schemas.microsoft.com/office/drawing/2014/main" id="{DE09A540-90B1-486C-B877-7C6E2CA9C5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3</xdr:col>
      <xdr:colOff>0</xdr:colOff>
      <xdr:row>20</xdr:row>
      <xdr:rowOff>0</xdr:rowOff>
    </xdr:from>
    <xdr:to>
      <xdr:col>9</xdr:col>
      <xdr:colOff>511175</xdr:colOff>
      <xdr:row>20</xdr:row>
      <xdr:rowOff>304800</xdr:rowOff>
    </xdr:to>
    <xdr:graphicFrame macro="">
      <xdr:nvGraphicFramePr>
        <xdr:cNvPr id="25" name="Chart 24">
          <a:extLst>
            <a:ext uri="{FF2B5EF4-FFF2-40B4-BE49-F238E27FC236}">
              <a16:creationId xmlns:a16="http://schemas.microsoft.com/office/drawing/2014/main" id="{966B9119-4633-47E3-A7DE-7F736A4CFC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3</xdr:col>
      <xdr:colOff>15875</xdr:colOff>
      <xdr:row>22</xdr:row>
      <xdr:rowOff>19050</xdr:rowOff>
    </xdr:from>
    <xdr:to>
      <xdr:col>9</xdr:col>
      <xdr:colOff>488950</xdr:colOff>
      <xdr:row>23</xdr:row>
      <xdr:rowOff>0</xdr:rowOff>
    </xdr:to>
    <xdr:graphicFrame macro="">
      <xdr:nvGraphicFramePr>
        <xdr:cNvPr id="27" name="Chart 26">
          <a:extLst>
            <a:ext uri="{FF2B5EF4-FFF2-40B4-BE49-F238E27FC236}">
              <a16:creationId xmlns:a16="http://schemas.microsoft.com/office/drawing/2014/main" id="{A0893255-7D5C-6883-EDA2-11F51750B8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3</xdr:col>
      <xdr:colOff>0</xdr:colOff>
      <xdr:row>23</xdr:row>
      <xdr:rowOff>0</xdr:rowOff>
    </xdr:from>
    <xdr:to>
      <xdr:col>9</xdr:col>
      <xdr:colOff>473075</xdr:colOff>
      <xdr:row>24</xdr:row>
      <xdr:rowOff>139700</xdr:rowOff>
    </xdr:to>
    <xdr:graphicFrame macro="">
      <xdr:nvGraphicFramePr>
        <xdr:cNvPr id="28" name="Chart 27">
          <a:extLst>
            <a:ext uri="{FF2B5EF4-FFF2-40B4-BE49-F238E27FC236}">
              <a16:creationId xmlns:a16="http://schemas.microsoft.com/office/drawing/2014/main" id="{142D0811-6092-49E4-8149-12FA56CAE2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3</xdr:col>
      <xdr:colOff>0</xdr:colOff>
      <xdr:row>24</xdr:row>
      <xdr:rowOff>0</xdr:rowOff>
    </xdr:from>
    <xdr:to>
      <xdr:col>9</xdr:col>
      <xdr:colOff>473075</xdr:colOff>
      <xdr:row>24</xdr:row>
      <xdr:rowOff>457200</xdr:rowOff>
    </xdr:to>
    <xdr:graphicFrame macro="">
      <xdr:nvGraphicFramePr>
        <xdr:cNvPr id="29" name="Chart 28">
          <a:extLst>
            <a:ext uri="{FF2B5EF4-FFF2-40B4-BE49-F238E27FC236}">
              <a16:creationId xmlns:a16="http://schemas.microsoft.com/office/drawing/2014/main" id="{C01F7BFB-0243-4EBF-962D-AFD4B49A04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3</xdr:col>
      <xdr:colOff>15875</xdr:colOff>
      <xdr:row>12</xdr:row>
      <xdr:rowOff>0</xdr:rowOff>
    </xdr:from>
    <xdr:to>
      <xdr:col>9</xdr:col>
      <xdr:colOff>514351</xdr:colOff>
      <xdr:row>13</xdr:row>
      <xdr:rowOff>6350</xdr:rowOff>
    </xdr:to>
    <xdr:graphicFrame macro="">
      <xdr:nvGraphicFramePr>
        <xdr:cNvPr id="8" name="Chart 7">
          <a:extLst>
            <a:ext uri="{FF2B5EF4-FFF2-40B4-BE49-F238E27FC236}">
              <a16:creationId xmlns:a16="http://schemas.microsoft.com/office/drawing/2014/main" id="{C7D2977A-C246-E39E-ABEC-F0D7922E04E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3</xdr:col>
      <xdr:colOff>25400</xdr:colOff>
      <xdr:row>13</xdr:row>
      <xdr:rowOff>25400</xdr:rowOff>
    </xdr:from>
    <xdr:to>
      <xdr:col>9</xdr:col>
      <xdr:colOff>523876</xdr:colOff>
      <xdr:row>14</xdr:row>
      <xdr:rowOff>31750</xdr:rowOff>
    </xdr:to>
    <xdr:graphicFrame macro="">
      <xdr:nvGraphicFramePr>
        <xdr:cNvPr id="9" name="Chart 8">
          <a:extLst>
            <a:ext uri="{FF2B5EF4-FFF2-40B4-BE49-F238E27FC236}">
              <a16:creationId xmlns:a16="http://schemas.microsoft.com/office/drawing/2014/main" id="{B8453028-D071-482D-B66B-5C20711310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0</xdr:colOff>
      <xdr:row>10</xdr:row>
      <xdr:rowOff>0</xdr:rowOff>
    </xdr:from>
    <xdr:to>
      <xdr:col>27</xdr:col>
      <xdr:colOff>709134</xdr:colOff>
      <xdr:row>10</xdr:row>
      <xdr:rowOff>3086531</xdr:rowOff>
    </xdr:to>
    <xdr:pic>
      <xdr:nvPicPr>
        <xdr:cNvPr id="2" name="Picture 1">
          <a:extLst>
            <a:ext uri="{FF2B5EF4-FFF2-40B4-BE49-F238E27FC236}">
              <a16:creationId xmlns:a16="http://schemas.microsoft.com/office/drawing/2014/main" id="{314DD5BA-C5D4-E730-03A8-1ADC96F702A5}"/>
            </a:ext>
          </a:extLst>
        </xdr:cNvPr>
        <xdr:cNvPicPr>
          <a:picLocks noChangeAspect="1"/>
        </xdr:cNvPicPr>
      </xdr:nvPicPr>
      <xdr:blipFill>
        <a:blip xmlns:r="http://schemas.openxmlformats.org/officeDocument/2006/relationships" r:embed="rId1"/>
        <a:stretch>
          <a:fillRect/>
        </a:stretch>
      </xdr:blipFill>
      <xdr:spPr>
        <a:xfrm>
          <a:off x="25335424" y="25173983"/>
          <a:ext cx="8716591" cy="3086531"/>
        </a:xfrm>
        <a:prstGeom prst="rect">
          <a:avLst/>
        </a:prstGeom>
      </xdr:spPr>
    </xdr:pic>
    <xdr:clientData/>
  </xdr:twoCellAnchor>
  <xdr:twoCellAnchor editAs="oneCell">
    <xdr:from>
      <xdr:col>20</xdr:col>
      <xdr:colOff>0</xdr:colOff>
      <xdr:row>11</xdr:row>
      <xdr:rowOff>0</xdr:rowOff>
    </xdr:from>
    <xdr:to>
      <xdr:col>27</xdr:col>
      <xdr:colOff>413818</xdr:colOff>
      <xdr:row>11</xdr:row>
      <xdr:rowOff>3791479</xdr:rowOff>
    </xdr:to>
    <xdr:pic>
      <xdr:nvPicPr>
        <xdr:cNvPr id="4" name="Picture 3">
          <a:extLst>
            <a:ext uri="{FF2B5EF4-FFF2-40B4-BE49-F238E27FC236}">
              <a16:creationId xmlns:a16="http://schemas.microsoft.com/office/drawing/2014/main" id="{8489356E-466A-6EEC-7C66-8768CEEED4F7}"/>
            </a:ext>
          </a:extLst>
        </xdr:cNvPr>
        <xdr:cNvPicPr>
          <a:picLocks noChangeAspect="1"/>
        </xdr:cNvPicPr>
      </xdr:nvPicPr>
      <xdr:blipFill>
        <a:blip xmlns:r="http://schemas.openxmlformats.org/officeDocument/2006/relationships" r:embed="rId2"/>
        <a:stretch>
          <a:fillRect/>
        </a:stretch>
      </xdr:blipFill>
      <xdr:spPr>
        <a:xfrm>
          <a:off x="25862797" y="30372373"/>
          <a:ext cx="8421275" cy="379147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457200</xdr:colOff>
      <xdr:row>6</xdr:row>
      <xdr:rowOff>85725</xdr:rowOff>
    </xdr:from>
    <xdr:ext cx="5715000" cy="3533775"/>
    <xdr:graphicFrame macro="">
      <xdr:nvGraphicFramePr>
        <xdr:cNvPr id="2" name="Chart 1" title="Chart">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628650</xdr:colOff>
      <xdr:row>5</xdr:row>
      <xdr:rowOff>28575</xdr:rowOff>
    </xdr:from>
    <xdr:ext cx="4419600" cy="2733675"/>
    <xdr:graphicFrame macro="">
      <xdr:nvGraphicFramePr>
        <xdr:cNvPr id="2" name="Chart 2" title="Chart">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https://enablingqap.sharepoint.com/sites/Corporate/Freigegebene%20Dokumente/Sustainability/Gender%20Lens%20Investing/SIPA/2025/Metric%20Dashboard%20EQ-WIP.xlsx#BgEIDA4ADAMGBAcBBAQECw=222.0"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https://enablingqap.sharepoint.com/sites/Corporate/Freigegebene%20Dokumente/Sustainability/Gender%20Lens%20Investing/SIPA/2025/Metric%20Dashboard%20EQ-WIP.xlsx#BgEIDA4ADAMGBAcBBAQECw=222.0"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Fatima Shamsi" refreshedDate="45799.737796643516" refreshedVersion="8" recordCount="7" xr:uid="{00000000-000A-0000-FFFF-FFFF00000000}">
  <cacheSource type="worksheet">
    <worksheetSource ref="I11:K18" sheet="Alternative Data Collection" r:id="rId2"/>
  </cacheSource>
  <cacheFields count="3">
    <cacheField name="Employee Name" numFmtId="0">
      <sharedItems/>
    </cacheField>
    <cacheField name="Gender" numFmtId="0">
      <sharedItems count="2">
        <s v="M"/>
        <s v="F"/>
      </sharedItems>
    </cacheField>
    <cacheField name="Salary" numFmtId="165">
      <sharedItems containsSemiMixedTypes="0" containsString="0" containsNumber="1" containsInteger="1" minValue="35000" maxValue="500000"/>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Fatima Shamsi" refreshedDate="45799.737796990739" refreshedVersion="8" recordCount="7" xr:uid="{00000000-000A-0000-FFFF-FFFF01000000}">
  <cacheSource type="worksheet">
    <worksheetSource ref="I41:K48" sheet="Alternative Data Collection" r:id="rId2"/>
  </cacheSource>
  <cacheFields count="3">
    <cacheField name="Client Name" numFmtId="0">
      <sharedItems count="7">
        <s v="Maxwell"/>
        <s v="Swathi"/>
        <s v="Aanchal"/>
        <s v="Ale"/>
        <s v="Shria"/>
        <s v="Jennifer"/>
        <s v="Neema"/>
      </sharedItems>
    </cacheField>
    <cacheField name="Gender" numFmtId="0">
      <sharedItems count="2">
        <s v="M"/>
        <s v="F"/>
      </sharedItems>
    </cacheField>
    <cacheField name="Loan Amount" numFmtId="165">
      <sharedItems containsSemiMixedTypes="0" containsString="0" containsNumber="1" containsInteger="1" minValue="2500" maxValue="15000" count="7">
        <n v="2500"/>
        <n v="5000"/>
        <n v="4700"/>
        <n v="4000"/>
        <n v="6000"/>
        <n v="3500"/>
        <n v="15000"/>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s v="Max"/>
    <x v="0"/>
    <n v="70000"/>
  </r>
  <r>
    <s v="Swathi"/>
    <x v="1"/>
    <n v="100000"/>
  </r>
  <r>
    <s v="Aanchal"/>
    <x v="1"/>
    <n v="35000"/>
  </r>
  <r>
    <s v="Neema"/>
    <x v="1"/>
    <n v="500000"/>
  </r>
  <r>
    <s v="Ale"/>
    <x v="1"/>
    <n v="45000"/>
  </r>
  <r>
    <s v="Jennifer"/>
    <x v="1"/>
    <n v="100000"/>
  </r>
  <r>
    <s v="Shria"/>
    <x v="1"/>
    <n v="8000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x v="0"/>
    <x v="0"/>
    <x v="0"/>
  </r>
  <r>
    <x v="1"/>
    <x v="1"/>
    <x v="1"/>
  </r>
  <r>
    <x v="2"/>
    <x v="1"/>
    <x v="2"/>
  </r>
  <r>
    <x v="3"/>
    <x v="1"/>
    <x v="3"/>
  </r>
  <r>
    <x v="4"/>
    <x v="1"/>
    <x v="4"/>
  </r>
  <r>
    <x v="5"/>
    <x v="1"/>
    <x v="5"/>
  </r>
  <r>
    <x v="6"/>
    <x v="1"/>
    <x v="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B00-000000000000}" name="Pivot Table 3" cacheId="0" applyNumberFormats="0" applyBorderFormats="0" applyFontFormats="0" applyPatternFormats="0" applyAlignmentFormats="0" applyWidthHeightFormats="0" dataCaption="" updatedVersion="8" compact="0" compactData="0">
  <location ref="A1:B4" firstHeaderRow="1" firstDataRow="1" firstDataCol="1"/>
  <pivotFields count="3">
    <pivotField name="Employee Name" compact="0" outline="0" multipleItemSelectionAllowed="1" showAll="0"/>
    <pivotField name="Gender" axis="axisRow" compact="0" outline="0" multipleItemSelectionAllowed="1" showAll="0" sortType="ascending">
      <items count="3">
        <item x="1"/>
        <item x="0"/>
        <item t="default"/>
      </items>
    </pivotField>
    <pivotField name="Salary" dataField="1" compact="0" numFmtId="165" outline="0" multipleItemSelectionAllowed="1" showAll="0"/>
  </pivotFields>
  <rowFields count="1">
    <field x="1"/>
  </rowFields>
  <rowItems count="3">
    <i>
      <x/>
    </i>
    <i>
      <x v="1"/>
    </i>
    <i t="grand">
      <x/>
    </i>
  </rowItems>
  <colItems count="1">
    <i/>
  </colItems>
  <dataFields count="1">
    <dataField name="COUNT of Salary" fld="2" subtotal="countNums"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C00-000001000000}" name="Pivot Table 2" cacheId="1" applyNumberFormats="0" applyBorderFormats="0" applyFontFormats="0" applyPatternFormats="0" applyAlignmentFormats="0" applyWidthHeightFormats="0" dataCaption="" updatedVersion="8" rowGrandTotals="0" compact="0" compactData="0">
  <location ref="A4:C7" firstHeaderRow="1" firstDataRow="2" firstDataCol="1" rowPageCount="2" colPageCount="1"/>
  <pivotFields count="3">
    <pivotField name="Client Name" axis="axisPage" compact="0" outline="0" multipleItemSelectionAllowed="1" showAll="0">
      <items count="8">
        <item x="0"/>
        <item x="1"/>
        <item x="2"/>
        <item x="3"/>
        <item x="4"/>
        <item x="5"/>
        <item x="6"/>
        <item t="default"/>
      </items>
    </pivotField>
    <pivotField name="Gender" axis="axisRow" compact="0" outline="0" multipleItemSelectionAllowed="1" showAll="0" sortType="ascending">
      <items count="3">
        <item x="1"/>
        <item x="0"/>
        <item t="default"/>
      </items>
    </pivotField>
    <pivotField name="Loan Amount" axis="axisPage" dataField="1" compact="0" numFmtId="165" outline="0" multipleItemSelectionAllowed="1" showAll="0">
      <items count="8">
        <item x="0"/>
        <item x="1"/>
        <item x="2"/>
        <item x="3"/>
        <item x="4"/>
        <item x="5"/>
        <item x="6"/>
        <item t="default"/>
      </items>
    </pivotField>
  </pivotFields>
  <rowFields count="1">
    <field x="1"/>
  </rowFields>
  <rowItems count="2">
    <i>
      <x/>
    </i>
    <i>
      <x v="1"/>
    </i>
  </rowItems>
  <colFields count="1">
    <field x="-2"/>
  </colFields>
  <colItems count="2">
    <i>
      <x/>
    </i>
    <i i="1">
      <x v="1"/>
    </i>
  </colItems>
  <pageFields count="2">
    <pageField fld="2" hier="0"/>
    <pageField fld="0" hier="0"/>
  </pageFields>
  <dataFields count="2">
    <dataField name="Number of Loans" fld="2" subtotal="countNums" baseField="0"/>
    <dataField name="AVERAGE of Loan Amount" fld="2" subtotal="average"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17" Type="http://schemas.openxmlformats.org/officeDocument/2006/relationships/hyperlink" Target="https://www.cgap.org/sites/default/files/publications/Tech%20Guide_Gender%20Intentional%20Credit%20Scoring%202024%20%281%29.pdf" TargetMode="External"/><Relationship Id="rId21" Type="http://schemas.openxmlformats.org/officeDocument/2006/relationships/hyperlink" Target="https://gendertoolkit.bii.co.uk/wp-content/uploads/2020/11/Gender-smart-Investing-Guide-for-Fund-Managers.pdf" TargetMode="External"/><Relationship Id="rId42" Type="http://schemas.openxmlformats.org/officeDocument/2006/relationships/hyperlink" Target="https://www.bcg.com/publications/2017/human-resources-people-organization-why-paid-family-leave-is-good-business" TargetMode="External"/><Relationship Id="rId63" Type="http://schemas.openxmlformats.org/officeDocument/2006/relationships/hyperlink" Target="https://www.weps.org/sites/default/files/2022-12/WEPs%20BROCHURE%20%28december%202022%29_0.pdf" TargetMode="External"/><Relationship Id="rId84" Type="http://schemas.openxmlformats.org/officeDocument/2006/relationships/hyperlink" Target="https://www.weps.org/sites/default/files/2022-12/WEPs%20BROCHURE%20%28december%202022%29_0.pdf" TargetMode="External"/><Relationship Id="rId16" Type="http://schemas.openxmlformats.org/officeDocument/2006/relationships/hyperlink" Target="https://www.weps.org/resource/mentoring-workplace" TargetMode="External"/><Relationship Id="rId107" Type="http://schemas.openxmlformats.org/officeDocument/2006/relationships/hyperlink" Target="https://www.2xchallenge.org/2xcriteria" TargetMode="External"/><Relationship Id="rId11" Type="http://schemas.openxmlformats.org/officeDocument/2006/relationships/hyperlink" Target="https://www.mckinsey.com/featured-insights/diversity-and-inclusion/diversity-matters-even-more-the-case-for-holistic-impact" TargetMode="External"/><Relationship Id="rId32" Type="http://schemas.openxmlformats.org/officeDocument/2006/relationships/hyperlink" Target="https://www.ilo.org/sites/default/files/wcmsp5/groups/public/%40dgreports/%40dcomm/%40publ/documents/publication/wcms_216695.pdf" TargetMode="External"/><Relationship Id="rId37" Type="http://schemas.openxmlformats.org/officeDocument/2006/relationships/hyperlink" Target="https://www.weps.org/sites/default/files/2022-12/WEPs%20BROCHURE%20%28december%202022%29_0.pdf" TargetMode="External"/><Relationship Id="rId53" Type="http://schemas.openxmlformats.org/officeDocument/2006/relationships/hyperlink" Target="https://www.womensworldbanking.org/wp-content/uploads/2024/10/The-Gender-Performance-Checklist.pdf" TargetMode="External"/><Relationship Id="rId58" Type="http://schemas.openxmlformats.org/officeDocument/2006/relationships/hyperlink" Target="https://www.weps.org/sites/default/files/2022-12/WEPs%20BROCHURE%20%28december%202022%29_0.pdf" TargetMode="External"/><Relationship Id="rId74" Type="http://schemas.openxmlformats.org/officeDocument/2006/relationships/hyperlink" Target="https://www.ilo.org/sites/default/files/wcmsp5/groups/public/@dgreports/@dcomm/@publ/documents/publication/wcms_216695.pdf" TargetMode="External"/><Relationship Id="rId79" Type="http://schemas.openxmlformats.org/officeDocument/2006/relationships/hyperlink" Target="https://www.weps.org/sites/default/files/2022-12/WEPs%20BROCHURE%20%28december%202022%29_0.pdf" TargetMode="External"/><Relationship Id="rId102" Type="http://schemas.openxmlformats.org/officeDocument/2006/relationships/hyperlink" Target="https://www.cgap.org/sites/default/files/publications/Tech%20Guide_Gender%20Intentional%20Credit%20Scoring%202024%20%281%29.pdf" TargetMode="External"/><Relationship Id="rId123" Type="http://schemas.openxmlformats.org/officeDocument/2006/relationships/hyperlink" Target="https://www.2xchallenge.org/2xcriteria" TargetMode="External"/><Relationship Id="rId128" Type="http://schemas.openxmlformats.org/officeDocument/2006/relationships/hyperlink" Target="https://www.ecb.europa.eu/pub/pdf/scpwps/ecbwp1822.en.pdf" TargetMode="External"/><Relationship Id="rId5" Type="http://schemas.openxmlformats.org/officeDocument/2006/relationships/hyperlink" Target="https://www.weps.org/sites/default/files/2022-12/WEPs%20BROCHURE%20%28december%202022%29_0.pdf" TargetMode="External"/><Relationship Id="rId90" Type="http://schemas.openxmlformats.org/officeDocument/2006/relationships/hyperlink" Target="https://www.weps.org/sites/default/files/2020-12/WEPs_GUIDANCE_Mentoring_in_the_Workplace_0.pdf" TargetMode="External"/><Relationship Id="rId95" Type="http://schemas.openxmlformats.org/officeDocument/2006/relationships/hyperlink" Target="https://www.weps.org/sites/default/files/2022-12/WEPs%20BROCHURE%20%28december%202022%29_0.pdf" TargetMode="External"/><Relationship Id="rId22" Type="http://schemas.openxmlformats.org/officeDocument/2006/relationships/hyperlink" Target="https://static1.squarespace.com/static/5b180402c3c16a6fe0001e45/t/65e72c44689786427b5b0889/1709648967612/2X+Criteria+Reference+Guide_February+2024.pdf" TargetMode="External"/><Relationship Id="rId27" Type="http://schemas.openxmlformats.org/officeDocument/2006/relationships/hyperlink" Target="https://www3.weforum.org/docs/WEF_GGGR_2024.pdf" TargetMode="External"/><Relationship Id="rId43" Type="http://schemas.openxmlformats.org/officeDocument/2006/relationships/hyperlink" Target="https://www3.weforum.org/docs/WEF_GGGR_2024.pdf" TargetMode="External"/><Relationship Id="rId48" Type="http://schemas.openxmlformats.org/officeDocument/2006/relationships/hyperlink" Target="https://www.ilo.org/sites/default/files/wcmsp5/groups/public/%40ed_norm/%40declaration/documents/publication/wcms_536630.pdf" TargetMode="External"/><Relationship Id="rId64" Type="http://schemas.openxmlformats.org/officeDocument/2006/relationships/hyperlink" Target="https://www.weps.org/sites/default/files/2022-12/WEPs%20BROCHURE%20%28december%202022%29_0.pdf" TargetMode="External"/><Relationship Id="rId69" Type="http://schemas.openxmlformats.org/officeDocument/2006/relationships/hyperlink" Target="https://www.weps.org/sites/default/files/2020-12/WEPs_GUIDANCE_PRIVATE_SECTOR_PARENTAL_LEAVE.pdf" TargetMode="External"/><Relationship Id="rId113" Type="http://schemas.openxmlformats.org/officeDocument/2006/relationships/hyperlink" Target="https://www.cgap.org/sites/default/files/publications/Tech%20Guide_Gender%20Intentional%20Credit%20Scoring%202024%20%281%29.pdf" TargetMode="External"/><Relationship Id="rId118" Type="http://schemas.openxmlformats.org/officeDocument/2006/relationships/hyperlink" Target="https://www.cgap.org/sites/default/files/publications/Tech%20Guide_Gender%20Intentional%20Credit%20Scoring%202024%20%281%29.pdf" TargetMode="External"/><Relationship Id="rId134" Type="http://schemas.openxmlformats.org/officeDocument/2006/relationships/hyperlink" Target="https://www.sonataindia.com/downloads/New%20Policies/13.%20LOAN%20AND%20INTEREST%20RATE%20DETERMINATION%20POLICY.pdf" TargetMode="External"/><Relationship Id="rId80" Type="http://schemas.openxmlformats.org/officeDocument/2006/relationships/hyperlink" Target="https://www.weps.org/sites/default/files/2022-12/WEPs%20BROCHURE%20%28december%202022%29_0.pdf" TargetMode="External"/><Relationship Id="rId85" Type="http://schemas.openxmlformats.org/officeDocument/2006/relationships/hyperlink" Target="https://www.aauw.org/app/uploads/2020/03/Limiting-our-Livelihoods-Full-Report.pdf" TargetMode="External"/><Relationship Id="rId12" Type="http://schemas.openxmlformats.org/officeDocument/2006/relationships/hyperlink" Target="https://www.oecd.org/content/dam/oecd/en/publications/reports/2022/09/enhancing-gender-diversity-on-boards-and-in-senior-management-of-listed-companies_50213bfe/4f7ca695-en.pdf" TargetMode="External"/><Relationship Id="rId17" Type="http://schemas.openxmlformats.org/officeDocument/2006/relationships/hyperlink" Target="https://gendertoolkit.bii.co.uk/wp-content/uploads/2020/11/Gender-smart-Investing-Guide-for-Fund-Managers.pdf" TargetMode="External"/><Relationship Id="rId33" Type="http://schemas.openxmlformats.org/officeDocument/2006/relationships/hyperlink" Target="https://www.weps.org/sites/default/files/2022-12/WEPs%20BROCHURE%20%28december%202022%29_0.pdf" TargetMode="External"/><Relationship Id="rId38" Type="http://schemas.openxmlformats.org/officeDocument/2006/relationships/hyperlink" Target="https://www.weps.org/sites/default/files/2022-12/WEPs%20BROCHURE%20%28december%202022%29_0.pdf" TargetMode="External"/><Relationship Id="rId59" Type="http://schemas.openxmlformats.org/officeDocument/2006/relationships/hyperlink" Target="https://council.science/member/organization-for-women-in-science-for-the-developing-worlds-owsd/" TargetMode="External"/><Relationship Id="rId103" Type="http://schemas.openxmlformats.org/officeDocument/2006/relationships/hyperlink" Target="https://www.2xchallenge.org/2xcriteria" TargetMode="External"/><Relationship Id="rId108" Type="http://schemas.openxmlformats.org/officeDocument/2006/relationships/hyperlink" Target="https://www.2xchallenge.org/2xcriteria" TargetMode="External"/><Relationship Id="rId124" Type="http://schemas.openxmlformats.org/officeDocument/2006/relationships/hyperlink" Target="https://www.2xchallenge.org/2xcriteria" TargetMode="External"/><Relationship Id="rId129" Type="http://schemas.openxmlformats.org/officeDocument/2006/relationships/hyperlink" Target="https://www.ecb.europa.eu/pub/pdf/scpwps/ecbwp1822.en.pdf" TargetMode="External"/><Relationship Id="rId54" Type="http://schemas.openxmlformats.org/officeDocument/2006/relationships/hyperlink" Target="https://static1.squarespace.com/static/5b180402c3c16a6fe0001e45/t/65e72c44689786427b5b0889/1709648967612/2X+Criteria+Reference+Guide_February+2024.pdf" TargetMode="External"/><Relationship Id="rId70" Type="http://schemas.openxmlformats.org/officeDocument/2006/relationships/hyperlink" Target="https://www.ilo.org/sites/default/files/wcmsp5/groups/public/@dgreports/@gender/documents/publication/wcms_838655.pdf" TargetMode="External"/><Relationship Id="rId75" Type="http://schemas.openxmlformats.org/officeDocument/2006/relationships/hyperlink" Target="https://www.weps.org/sites/default/files/2022-12/WEPs%20BROCHURE%20%28december%202022%29_0.pdf" TargetMode="External"/><Relationship Id="rId91" Type="http://schemas.openxmlformats.org/officeDocument/2006/relationships/hyperlink" Target="https://www.weps.org/sites/default/files/2022-12/WEPs%20BROCHURE%20%28december%202022%29_0.pdf" TargetMode="External"/><Relationship Id="rId96" Type="http://schemas.openxmlformats.org/officeDocument/2006/relationships/hyperlink" Target="https://www.weps.org/sites/default/files/2022-12/WEPs%20BROCHURE%20%28december%202022%29_0.pdf" TargetMode="External"/><Relationship Id="rId1" Type="http://schemas.openxmlformats.org/officeDocument/2006/relationships/hyperlink" Target="https://www.weps.org/sites/default/files/2022-12/WEPs%20BROCHURE%20%28december%202022%29_0.pdf" TargetMode="External"/><Relationship Id="rId6" Type="http://schemas.openxmlformats.org/officeDocument/2006/relationships/hyperlink" Target="https://static1.squarespace.com/static/5b180402c3c16a6fe0001e45/t/65e72c44689786427b5b0889/1709648967612/2X+Criteria+Reference+Guide_February+2024.pdf" TargetMode="External"/><Relationship Id="rId23" Type="http://schemas.openxmlformats.org/officeDocument/2006/relationships/hyperlink" Target="https://www.mckinsey.com/featured-insights/diversity-and-inclusion/diversity-matters-even-more-the-case-for-holistic-impact" TargetMode="External"/><Relationship Id="rId28" Type="http://schemas.openxmlformats.org/officeDocument/2006/relationships/hyperlink" Target="https://www.ifc.org/content/dam/ifc/doc/2025/closing-the-gender-gap-in-education-and-employment.pdf" TargetMode="External"/><Relationship Id="rId49" Type="http://schemas.openxmlformats.org/officeDocument/2006/relationships/hyperlink" Target="https://www.weps.org/sites/default/files/2022-12/WEPs%20BROCHURE%20%28december%202022%29_0.pdf" TargetMode="External"/><Relationship Id="rId114" Type="http://schemas.openxmlformats.org/officeDocument/2006/relationships/hyperlink" Target="https://www.cgap.org/sites/default/files/publications/Tech%20Guide_Gender%20Intentional%20Credit%20Scoring%202024%20%281%29.pdf" TargetMode="External"/><Relationship Id="rId119" Type="http://schemas.openxmlformats.org/officeDocument/2006/relationships/hyperlink" Target="https://digitalforwomen.worldbank.org/main-vertical-constraints" TargetMode="External"/><Relationship Id="rId44" Type="http://schemas.openxmlformats.org/officeDocument/2006/relationships/hyperlink" Target="https://www.ilo.org/sites/default/files/wcmsp5/groups/public/%40ed_norm/%40declaration/documents/publication/wcms_536630.pdf" TargetMode="External"/><Relationship Id="rId60" Type="http://schemas.openxmlformats.org/officeDocument/2006/relationships/hyperlink" Target="https://www.weps.org/sites/default/files/2022-12/WEPs%20BROCHURE%20%28december%202022%29_0.pdf" TargetMode="External"/><Relationship Id="rId65" Type="http://schemas.openxmlformats.org/officeDocument/2006/relationships/hyperlink" Target="https://www.weps.org/sites/default/files/2025-01/White%20paper%2017%20Jan%202025%20FINAL.pdf" TargetMode="External"/><Relationship Id="rId81" Type="http://schemas.openxmlformats.org/officeDocument/2006/relationships/hyperlink" Target="https://www.forbes.com/sites/kalinabryant/2024/03/27/the-impact-of-flexible-work-and-the-importance-of-adapting-to-change/" TargetMode="External"/><Relationship Id="rId86" Type="http://schemas.openxmlformats.org/officeDocument/2006/relationships/hyperlink" Target="https://www.weps.org/sites/default/files/2021-09/WEPs%20GUIDANCE%20%20Sexual%20Harassment%20EN.pdf" TargetMode="External"/><Relationship Id="rId130" Type="http://schemas.openxmlformats.org/officeDocument/2006/relationships/hyperlink" Target="https://www.womensworldbanking.org/wp-content/uploads/2022/12/Check-Your-Bias-A-Field-Guide-for-Lenders.pdf" TargetMode="External"/><Relationship Id="rId135" Type="http://schemas.openxmlformats.org/officeDocument/2006/relationships/printerSettings" Target="../printerSettings/printerSettings5.bin"/><Relationship Id="rId13" Type="http://schemas.openxmlformats.org/officeDocument/2006/relationships/hyperlink" Target="https://www.weps.org/sites/default/files/2022-12/WEPs%20BROCHURE%20%28december%202022%29_0.pdf" TargetMode="External"/><Relationship Id="rId18" Type="http://schemas.openxmlformats.org/officeDocument/2006/relationships/hyperlink" Target="https://static1.squarespace.com/static/5b180402c3c16a6fe0001e45/t/65e72c44689786427b5b0889/1709648967612/2X+Criteria+Reference+Guide_February+2024.pdf" TargetMode="External"/><Relationship Id="rId39" Type="http://schemas.openxmlformats.org/officeDocument/2006/relationships/hyperlink" Target="https://www.mckinsey.com/featured-insights/diversity-and-inclusion/diversity-matters-even-more-the-case-for-holistic-impact" TargetMode="External"/><Relationship Id="rId109" Type="http://schemas.openxmlformats.org/officeDocument/2006/relationships/hyperlink" Target="https://www.google.com/url?sa=t&amp;source=web&amp;rct=j&amp;opi=89978449&amp;url=https://publications.iadb.org/publications/english/document/Financing-Programs-for-Womens-Financial-Inclusion-and-Access-to-Finance-for-Women-MSMEs--Results-from-a-Survey-of-Public-Development-Banks.pdf&amp;ved=2ahUKEwj5lbrpmb2MAxUEhIkEHZNnEnIQFnoECDMQAQ&amp;usg=AOvVaw3FU0pHaEOG43Qgv24ifJ1Z" TargetMode="External"/><Relationship Id="rId34" Type="http://schemas.openxmlformats.org/officeDocument/2006/relationships/hyperlink" Target="https://www.weps.org/sites/default/files/2022-12/WEPs%20BROCHURE%20%28december%202022%29_0.pdf" TargetMode="External"/><Relationship Id="rId50" Type="http://schemas.openxmlformats.org/officeDocument/2006/relationships/hyperlink" Target="https://www.weps.org/sites/default/files/2022-12/WEPs%20BROCHURE%20%28december%202022%29_0.pdf" TargetMode="External"/><Relationship Id="rId55" Type="http://schemas.openxmlformats.org/officeDocument/2006/relationships/hyperlink" Target="https://www.womensworldbanking.org/wp-content/uploads/2024/10/The-Gender-Performance-Checklist.pdf" TargetMode="External"/><Relationship Id="rId76" Type="http://schemas.openxmlformats.org/officeDocument/2006/relationships/hyperlink" Target="https://www.weps.org/sites/default/files/2022-12/WEPs%20BROCHURE%20%28december%202022%29_0.pdf" TargetMode="External"/><Relationship Id="rId97" Type="http://schemas.openxmlformats.org/officeDocument/2006/relationships/hyperlink" Target="https://gendertoolkit.bii.co.uk/wp-content/uploads/2020/11/Gender-smart-Investing-Guide-for-Fund-Managers.pdf" TargetMode="External"/><Relationship Id="rId104" Type="http://schemas.openxmlformats.org/officeDocument/2006/relationships/hyperlink" Target="https://www.2xchallenge.org/2xcriteria" TargetMode="External"/><Relationship Id="rId120" Type="http://schemas.openxmlformats.org/officeDocument/2006/relationships/hyperlink" Target="https://digitalforwomen.worldbank.org/main-vertical-constraints" TargetMode="External"/><Relationship Id="rId125" Type="http://schemas.openxmlformats.org/officeDocument/2006/relationships/hyperlink" Target="https://pdf.sciencedirectassets.com/305925/1-s2.0-S2214845024X00046/1-s2.0-S2214845024000243/main.pdf?X-Amz-Security-Token=IQoJb3JpZ2luX2VjEDMaCXVzLWVhc3QtMSJGMEQCIDNGFub8WLr9Vcta6O3G%2BxNKZUiF8QM33Z6jcwxyRnItAiAA7gXy%2B6C9St%2FU%2Ffq1el3cyVaW95jpzJhhDubWKaR8FCq7BQis%2F%2F%2F%2F%2F%2F%2F%2F%2F%2F8BEAUaDDA1OTAwMzU0Njg2NSIMGCeWdv2FHjaL10x4Ko8FoPO452FE9Gdot1HrMMO20dk2EqZaUOjgt%2B9ZdpdUVTP%2Boq55aw19eF6%2BWD5vIVSnniuL3URe8vKSFn5%2BNcv1WRKUg%2F0kUgH%2Fa%2BMzjiPtKa9fjy3be3IT5R%2Bm7bT%2FWALUFEU9qy%2FtKNLKnPobJsnYt%2BwFU9%2BCwVSAkkdGM%2FcKjoTRrI%2FjvR%2B9e8qlXWbdf5iYzhnpQKZzSfmcIV%2FnVqaAM2tRx%2BaO4DF8HYqjNWtSqbNswxR6mFwTmvo78Y3KMGoiiHYBt3tPKCD%2FEqKvLXqH0PUlQ7tEWhwOJYpYz37P4smiYZM4pDDpEgt%2FWLcqA5PiRN9sAWR%2F8lmBUootDa7RE8GQFHUGvn1Oxwz7fYesHJM8g0njt7fbWNAdLGgJOJ9cO2mSDbtXmXJalRnx9knpoQd5V95%2FDuWYU%2FA2OKfySXh8xrO57l%2BdclGviY9XABjfRX1CeMLYA%2FQj0%2B%2BwU5iTriesy8QwwF191%2BiF7w0LfZCflPE8B2E4mri4MXyy0009AJXMN0HMA2UL57EDv0OhBkgLShMBLw4L0LecCMyE%2F0nTX8QvwdS8lWFQvo6ekSqqqGTbJ1kEzGGYbVlBOS0jlJtx%2Ba4RVeiRb8Wc8aKuZSKjxdYH5%2F6IVl5EvY6s9gVry%2B9naNHg5gx05IZ97najuBePVNkmcpzwKBc6G7ya2SUWFIyJj6zBpqq1Pp%2BLzTOYjyu2YnAkERj8mWNfCwi6TATEKW8qNXn6i0HJ%2BMwmYmn2v%2BuO3kw299NzLgQHVqOxtqn5IlnzN6PX2zBKJnQTt9xxmJOkKw6sijlaWa5%2BKsDf6TAFJe7rPU75rkLB%2B5ORWrypkLOAF04jRwq1PsHv8jymxXpAkaoVDR4Zdl094DDqpuC%2FBjqyAdz4wg02hWMSIdVGCtc9Dyvscdy4M69WjbXxYsYbo7RSfUJu0ao%2Frfs0mt1S6ktQukluwrQGvihp4wo6fqqtC45SN2aEXM%2BqhwWOhcJ4mjSR%2BVKpGf6fwYwXzcLnpfLP7gwEuSR8rK2kecj55v81lA5WHwvOyWsm1y0WXhESp8rNfwm%2Bs7nPmCB1znq02%2B%2FV%2FJJYW%2BKfk1kJWMJJhlO1l%2FEa4sOcezLvbHqiZ4lNh1BLcxk%3D&amp;X-Amz-Algorithm=AWS4-HMAC-SHA256&amp;X-Amz-Date=20250410T195152Z&amp;X-Amz-SignedHeaders=host&amp;X-Amz-Expires=300&amp;X-Amz-Credential=ASIAQ3PHCVTYVROYONMG%2F20250410%2Fus-east-1%2Fs3%2Faws4_request&amp;X-Amz-Signature=14d197c70cfa8b205538c063050306e45f34c70839d5fae76bf25cdccef500e8&amp;hash=42517c5cea91370664b956f9cdb156319c4d9f91de0396ecd666b0814ba79046&amp;host=68042c943591013ac2b2430a89b270f6af2c76d8dfd086a07176afe7c76c2c61&amp;pii=S2214845024000243&amp;tid=spdf-5f96efd3-7dc1-44c3-902b-4a1f94333537&amp;sid=1822cccb4ed4904eb95adea19d94f5eaf118gxrqa&amp;ty" TargetMode="External"/><Relationship Id="rId7" Type="http://schemas.openxmlformats.org/officeDocument/2006/relationships/hyperlink" Target="https://www.mckinsey.com/featured-insights/diversity-and-inclusion/diversity-matters-even-more-the-case-for-holistic-impact" TargetMode="External"/><Relationship Id="rId71" Type="http://schemas.openxmlformats.org/officeDocument/2006/relationships/hyperlink" Target="https://www.weps.org/sites/default/files/2022-12/WEPs%20BROCHURE%20%28december%202022%29_0.pdf" TargetMode="External"/><Relationship Id="rId92" Type="http://schemas.openxmlformats.org/officeDocument/2006/relationships/hyperlink" Target="https://www.weps.org/sites/default/files/2022-12/WEPs%20BROCHURE%20%28december%202022%29_0.pdf" TargetMode="External"/><Relationship Id="rId2" Type="http://schemas.openxmlformats.org/officeDocument/2006/relationships/hyperlink" Target="https://static1.squarespace.com/static/5b180402c3c16a6fe0001e45/t/65e72c44689786427b5b0889/1709648967612/2X+Criteria+Reference+Guide_February+2024.pdf" TargetMode="External"/><Relationship Id="rId29" Type="http://schemas.openxmlformats.org/officeDocument/2006/relationships/hyperlink" Target="https://www.weps.org/sites/default/files/2022-12/WEPs%20BROCHURE%20%28december%202022%29_0.pdf" TargetMode="External"/><Relationship Id="rId24" Type="http://schemas.openxmlformats.org/officeDocument/2006/relationships/hyperlink" Target="https://iwforum.org/initiatives/development/fellows/" TargetMode="External"/><Relationship Id="rId40" Type="http://schemas.openxmlformats.org/officeDocument/2006/relationships/hyperlink" Target="https://webapps.ilo.org/infostories/en-GB/Stories/Employment/barriers-women" TargetMode="External"/><Relationship Id="rId45" Type="http://schemas.openxmlformats.org/officeDocument/2006/relationships/hyperlink" Target="https://www.weps.org/sites/default/files/2022-12/WEPs%20BROCHURE%20%28december%202022%29_0.pdf" TargetMode="External"/><Relationship Id="rId66" Type="http://schemas.openxmlformats.org/officeDocument/2006/relationships/hyperlink" Target="https://www.unicef.org/eap/media/14076/file/UNICEF%20%20UN%20Women%20advocacy%20brochure.pdf" TargetMode="External"/><Relationship Id="rId87" Type="http://schemas.openxmlformats.org/officeDocument/2006/relationships/hyperlink" Target="https://www.weps.org/sites/default/files/2022-12/WEPs%20BROCHURE%20%28december%202022%29_0.pdf" TargetMode="External"/><Relationship Id="rId110" Type="http://schemas.openxmlformats.org/officeDocument/2006/relationships/hyperlink" Target="https://www.womensworldbanking.org/wp-content/uploads/2023/06/2023-Revolutionizing-Product-Design-Report.pdf" TargetMode="External"/><Relationship Id="rId115" Type="http://schemas.openxmlformats.org/officeDocument/2006/relationships/hyperlink" Target="https://www.cgap.org/sites/default/files/publications/Tech%20Guide_Gender%20Intentional%20Credit%20Scoring%202024%20%281%29.pdf" TargetMode="External"/><Relationship Id="rId131" Type="http://schemas.openxmlformats.org/officeDocument/2006/relationships/hyperlink" Target="https://poverty-action.org/sites/default/files/2024-10/Women%E2%80%99s%20Economic%20Activity_10.9.24.pdf" TargetMode="External"/><Relationship Id="rId136" Type="http://schemas.openxmlformats.org/officeDocument/2006/relationships/vmlDrawing" Target="../drawings/vmlDrawing1.vml"/><Relationship Id="rId61" Type="http://schemas.openxmlformats.org/officeDocument/2006/relationships/hyperlink" Target="https://www.weps.org/sites/default/files/2022-12/WEPs%20BROCHURE%20%28december%202022%29_0.pdf" TargetMode="External"/><Relationship Id="rId82" Type="http://schemas.openxmlformats.org/officeDocument/2006/relationships/hyperlink" Target="https://www.weps.org/sites/default/files/2021-02/WEPs_Flexible_Work_Policy_Template.pdf" TargetMode="External"/><Relationship Id="rId19" Type="http://schemas.openxmlformats.org/officeDocument/2006/relationships/hyperlink" Target="https://www.mckinsey.com/featured-insights/diversity-and-inclusion/diversity-matters-even-more-the-case-for-holistic-impact" TargetMode="External"/><Relationship Id="rId14" Type="http://schemas.openxmlformats.org/officeDocument/2006/relationships/hyperlink" Target="https://30percentclub.org/" TargetMode="External"/><Relationship Id="rId30" Type="http://schemas.openxmlformats.org/officeDocument/2006/relationships/hyperlink" Target="https://normlex.ilo.org/dyn/nrmlx_en/f?p=NORMLEXPUB:12100:0::NO::P12100_Ilo_Code:C100" TargetMode="External"/><Relationship Id="rId35" Type="http://schemas.openxmlformats.org/officeDocument/2006/relationships/hyperlink" Target="https://gendertoolkit.bii.co.uk/wp-content/uploads/2020/11/Gender-smart-Investing-Guide-for-Fund-Managers.pdf" TargetMode="External"/><Relationship Id="rId56" Type="http://schemas.openxmlformats.org/officeDocument/2006/relationships/hyperlink" Target="https://www.unwomen.org/sites/default/files/2023-12/booklet-gender-finance-2023-en.pdf" TargetMode="External"/><Relationship Id="rId77" Type="http://schemas.openxmlformats.org/officeDocument/2006/relationships/hyperlink" Target="https://www.weps.org/sites/default/files/2021-03/POLICY_TEMPLATE_Gender_based_violence.pdf" TargetMode="External"/><Relationship Id="rId100" Type="http://schemas.openxmlformats.org/officeDocument/2006/relationships/hyperlink" Target="https://www.2xchallenge.org/2xcriteria" TargetMode="External"/><Relationship Id="rId105" Type="http://schemas.openxmlformats.org/officeDocument/2006/relationships/hyperlink" Target="https://www.womensworldbanking.org/insights/womens-world-bankings-2021-impact-report/" TargetMode="External"/><Relationship Id="rId126" Type="http://schemas.openxmlformats.org/officeDocument/2006/relationships/hyperlink" Target="https://www.unwomen.org/sites/default/files/2023-12/booklet-gender-finance-2023-en.pdf" TargetMode="External"/><Relationship Id="rId8" Type="http://schemas.openxmlformats.org/officeDocument/2006/relationships/hyperlink" Target="https://www.mckinsey.com/~/media/mckinsey/featured%20insights/diversity%20and%20inclusion/women%20in%20the%20workplace%202022/women-in-the-workplace-2022.pdf" TargetMode="External"/><Relationship Id="rId51" Type="http://schemas.openxmlformats.org/officeDocument/2006/relationships/hyperlink" Target="https://www.weps.org/sites/default/files/2025-01/White%20paper%2017%20Jan%202025%20FINAL.pdf" TargetMode="External"/><Relationship Id="rId72" Type="http://schemas.openxmlformats.org/officeDocument/2006/relationships/hyperlink" Target="https://www.weps.org/sites/default/files/2022-12/WEPs%20BROCHURE%20%28december%202022%29_0.pdf" TargetMode="External"/><Relationship Id="rId93" Type="http://schemas.openxmlformats.org/officeDocument/2006/relationships/hyperlink" Target="https://heinonline.org/HOL/Page?handle=hein.journals/cdozo44&amp;div=7&amp;g_sent=1&amp;casa_token=&amp;collection=journals" TargetMode="External"/><Relationship Id="rId98" Type="http://schemas.openxmlformats.org/officeDocument/2006/relationships/hyperlink" Target="https://www.akinamamawaafrika.org/wp-content/uploads/2020/02/Gender-Audit-Tool_FINAL_.pdf" TargetMode="External"/><Relationship Id="rId121" Type="http://schemas.openxmlformats.org/officeDocument/2006/relationships/hyperlink" Target="https://ervet-journal.springeropen.com/articles/10.1186/s40461-023-00147-9" TargetMode="External"/><Relationship Id="rId3" Type="http://schemas.openxmlformats.org/officeDocument/2006/relationships/hyperlink" Target="https://www3.weforum.org/docs/WEF_GGGR_2024.pdf" TargetMode="External"/><Relationship Id="rId25" Type="http://schemas.openxmlformats.org/officeDocument/2006/relationships/hyperlink" Target="https://gendertoolkit.bii.co.uk/wp-content/uploads/2020/11/Gender-smart-Investing-Guide-for-Fund-Managers.pdf" TargetMode="External"/><Relationship Id="rId46" Type="http://schemas.openxmlformats.org/officeDocument/2006/relationships/hyperlink" Target="https://www.bcg.com/publications/2017/human-resources-people-organization-why-paid-family-leave-is-good-business" TargetMode="External"/><Relationship Id="rId67" Type="http://schemas.openxmlformats.org/officeDocument/2006/relationships/hyperlink" Target="https://www.weps.org/sites/default/files/2022-12/WEPs%20BROCHURE%20%28december%202022%29_0.pdf" TargetMode="External"/><Relationship Id="rId116" Type="http://schemas.openxmlformats.org/officeDocument/2006/relationships/hyperlink" Target="https://www.cgap.org/sites/default/files/publications/Tech%20Guide_Gender%20Intentional%20Credit%20Scoring%202024%20%281%29.pdf" TargetMode="External"/><Relationship Id="rId137" Type="http://schemas.openxmlformats.org/officeDocument/2006/relationships/comments" Target="../comments1.xml"/><Relationship Id="rId20" Type="http://schemas.openxmlformats.org/officeDocument/2006/relationships/hyperlink" Target="https://www.weps.org/resource/mentoring-workplace" TargetMode="External"/><Relationship Id="rId41" Type="http://schemas.openxmlformats.org/officeDocument/2006/relationships/hyperlink" Target="https://www.weps.org/sites/default/files/2022-12/WEPs%20BROCHURE%20%28december%202022%29_0.pdf" TargetMode="External"/><Relationship Id="rId62" Type="http://schemas.openxmlformats.org/officeDocument/2006/relationships/hyperlink" Target="https://www.unwomen.org/en/news-stories/press-release/2024/09/heforshe-marks-ten-years-with-a-movement-of-2-million-gender-equality-activists-welcomes-new-champions" TargetMode="External"/><Relationship Id="rId83" Type="http://schemas.openxmlformats.org/officeDocument/2006/relationships/hyperlink" Target="https://www.weps.org/sites/default/files/2022-12/WEPs%20BROCHURE%20%28december%202022%29_0.pdf" TargetMode="External"/><Relationship Id="rId88" Type="http://schemas.openxmlformats.org/officeDocument/2006/relationships/hyperlink" Target="https://www.weps.org/sites/default/files/2022-12/WEPs%20BROCHURE%20%28december%202022%29_0.pdf" TargetMode="External"/><Relationship Id="rId111" Type="http://schemas.openxmlformats.org/officeDocument/2006/relationships/hyperlink" Target="https://www.cgap.org/sites/default/files/publications/Tech%20Guide_Gender%20Intentional%20Credit%20Scoring%202024%20%281%29.pdf" TargetMode="External"/><Relationship Id="rId132" Type="http://schemas.openxmlformats.org/officeDocument/2006/relationships/hyperlink" Target="https://poverty-action.org/sites/default/files/2024-10/Women%E2%80%99s%20Economic%20Activity_10.9.24.pdf" TargetMode="External"/><Relationship Id="rId15" Type="http://schemas.openxmlformats.org/officeDocument/2006/relationships/hyperlink" Target="https://www.mckinsey.com/featured-insights/diversity-and-inclusion/diversity-matters-even-more-the-case-for-holistic-impact" TargetMode="External"/><Relationship Id="rId36" Type="http://schemas.openxmlformats.org/officeDocument/2006/relationships/hyperlink" Target="https://documents1.worldbank.org/curated/en/099514004022438837/pdf/IDU1d3fb23bf1a94c143ec1bb501f87c9a5983ca.pdf" TargetMode="External"/><Relationship Id="rId57" Type="http://schemas.openxmlformats.org/officeDocument/2006/relationships/hyperlink" Target="https://www.weps.org/sites/default/files/2022-12/WEPs%20BROCHURE%20%28december%202022%29_0.pdf" TargetMode="External"/><Relationship Id="rId106" Type="http://schemas.openxmlformats.org/officeDocument/2006/relationships/hyperlink" Target="https://www.cgap.org/sites/default/files/publications/Tech%20Guide_Gender%20Intentional%20Credit%20Scoring%202024%20%281%29.pdf" TargetMode="External"/><Relationship Id="rId127" Type="http://schemas.openxmlformats.org/officeDocument/2006/relationships/hyperlink" Target="https://www.womensworldbanking.org/insights/in-a-world-of-gender-bias-lendingkarts-ai-based-credit-model-stands-apart/" TargetMode="External"/><Relationship Id="rId10" Type="http://schemas.openxmlformats.org/officeDocument/2006/relationships/hyperlink" Target="https://30percentclub.org/" TargetMode="External"/><Relationship Id="rId31" Type="http://schemas.openxmlformats.org/officeDocument/2006/relationships/hyperlink" Target="https://www.aauw.org/app/uploads/2020/02/AAUW-2018-SimpleTruth-nsa.pdf" TargetMode="External"/><Relationship Id="rId52" Type="http://schemas.openxmlformats.org/officeDocument/2006/relationships/hyperlink" Target="https://mneguidelines.oecd.org/mneguidelines/Responsible-Business-Conduct-and-Gender.pdf" TargetMode="External"/><Relationship Id="rId73" Type="http://schemas.openxmlformats.org/officeDocument/2006/relationships/hyperlink" Target="https://www.ifc.org/content/dam/ifc/doc/mgrt/nondiscrimination.pdf" TargetMode="External"/><Relationship Id="rId78" Type="http://schemas.openxmlformats.org/officeDocument/2006/relationships/hyperlink" Target="https://www.weps.org/sites/default/files/2021-09/WEPs%20GUIDANCE%20%20Sexual%20Harassment%20EN.pdf" TargetMode="External"/><Relationship Id="rId94" Type="http://schemas.openxmlformats.org/officeDocument/2006/relationships/hyperlink" Target="https://cris.maastrichtuniversity.nl/ws/portalfiles/portal/114785758/aiconomics_policybrief02_eng_V2.pdf" TargetMode="External"/><Relationship Id="rId99" Type="http://schemas.openxmlformats.org/officeDocument/2006/relationships/hyperlink" Target="https://www.2xchallenge.org/2xcriteria" TargetMode="External"/><Relationship Id="rId101" Type="http://schemas.openxmlformats.org/officeDocument/2006/relationships/hyperlink" Target="https://www.eib.org/en/stories/investing-gender-lens" TargetMode="External"/><Relationship Id="rId122" Type="http://schemas.openxmlformats.org/officeDocument/2006/relationships/hyperlink" Target="https://www.giz.de/expertise/downloads/2021%20giz%20womens%20financial%20inclusion%20toolkit.pdf" TargetMode="External"/><Relationship Id="rId4" Type="http://schemas.openxmlformats.org/officeDocument/2006/relationships/hyperlink" Target="https://www.womensworldbanking.org/wp-content/uploads/2024/10/The-Gender-Performance-Checklist.pdf" TargetMode="External"/><Relationship Id="rId9" Type="http://schemas.openxmlformats.org/officeDocument/2006/relationships/hyperlink" Target="https://www.weps.org/sites/default/files/2022-12/WEPs%20BROCHURE%20%28december%202022%29_0.pdf" TargetMode="External"/><Relationship Id="rId26" Type="http://schemas.openxmlformats.org/officeDocument/2006/relationships/hyperlink" Target="https://static1.squarespace.com/static/5b180402c3c16a6fe0001e45/t/65e72c44689786427b5b0889/1709648967612/2X+Criteria+Reference+Guide_February+2024.pdf" TargetMode="External"/><Relationship Id="rId47" Type="http://schemas.openxmlformats.org/officeDocument/2006/relationships/hyperlink" Target="https://www3.weforum.org/docs/WEF_GGGR_2024.pdf" TargetMode="External"/><Relationship Id="rId68" Type="http://schemas.openxmlformats.org/officeDocument/2006/relationships/hyperlink" Target="https://www.weps.org/sites/default/files/2022-12/WEPs%20BROCHURE%20%28december%202022%29_0.pdf" TargetMode="External"/><Relationship Id="rId89" Type="http://schemas.openxmlformats.org/officeDocument/2006/relationships/hyperlink" Target="https://www.weps.org/sites/default/files/2020-12/WEPs_GUIDANCE_Mentoring_in_the_Workplace_0.pdf" TargetMode="External"/><Relationship Id="rId112" Type="http://schemas.openxmlformats.org/officeDocument/2006/relationships/hyperlink" Target="https://www.cgap.org/sites/default/files/publications/Tech%20Guide_Gender%20Intentional%20Credit%20Scoring%202024%20%281%29.pdf" TargetMode="External"/><Relationship Id="rId133" Type="http://schemas.openxmlformats.org/officeDocument/2006/relationships/hyperlink" Target="https://www.povertyactionlab.org/sites/default/files/research-paper/working-paper_9256_Repayment-Flexibility-and-Risk-Taking_Bangladesh_April2021.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17" Type="http://schemas.openxmlformats.org/officeDocument/2006/relationships/hyperlink" Target="https://www.2xchallenge.org/2xcriteria" TargetMode="External"/><Relationship Id="rId21" Type="http://schemas.openxmlformats.org/officeDocument/2006/relationships/hyperlink" Target="https://gendertoolkit.bii.co.uk/wp-content/uploads/2020/11/Gender-smart-Investing-Guide-for-Fund-Managers.pdf" TargetMode="External"/><Relationship Id="rId42" Type="http://schemas.openxmlformats.org/officeDocument/2006/relationships/hyperlink" Target="https://www.bcg.com/publications/2017/human-resources-people-organization-why-paid-family-leave-is-good-business" TargetMode="External"/><Relationship Id="rId63" Type="http://schemas.openxmlformats.org/officeDocument/2006/relationships/hyperlink" Target="https://www.weps.org/sites/default/files/2022-12/WEPs%20BROCHURE%20%28december%202022%29_0.pdf" TargetMode="External"/><Relationship Id="rId84" Type="http://schemas.openxmlformats.org/officeDocument/2006/relationships/hyperlink" Target="https://www.weps.org/sites/default/files/2020-12/WEPs_GUIDANCE_Mentoring_in_the_Workplace_0.pdf" TargetMode="External"/><Relationship Id="rId138" Type="http://schemas.openxmlformats.org/officeDocument/2006/relationships/hyperlink" Target="https://www.weps.org/resource/mentoring-workplace" TargetMode="External"/><Relationship Id="rId159" Type="http://schemas.openxmlformats.org/officeDocument/2006/relationships/hyperlink" Target="https://www.equalityhumanrights.com/guidance/pregnancy-adoption-and-maternity-return-work" TargetMode="External"/><Relationship Id="rId170" Type="http://schemas.openxmlformats.org/officeDocument/2006/relationships/hyperlink" Target="https://www.unicef.org/eap/media/14076/file/UNICEF%20%20UN%20Women%20advocacy%20brochure.pdf" TargetMode="External"/><Relationship Id="rId191" Type="http://schemas.openxmlformats.org/officeDocument/2006/relationships/hyperlink" Target="https://gendertoolkit.bii.co.uk/wp-content/uploads/2020/11/Gender-smart-Investing-Guide-for-Fund-Managers.pdf" TargetMode="External"/><Relationship Id="rId107" Type="http://schemas.openxmlformats.org/officeDocument/2006/relationships/hyperlink" Target="https://www.cgap.org/sites/default/files/publications/Tech%20Guide_Gender%20Intentional%20Credit%20Scoring%202024%20%281%29.pdf" TargetMode="External"/><Relationship Id="rId11" Type="http://schemas.openxmlformats.org/officeDocument/2006/relationships/hyperlink" Target="https://www.oecd.org/content/dam/oecd/en/publications/reports/2022/09/enhancing-gender-diversity-on-boards-and-in-senior-management-of-listed-companies_50213bfe/4f7ca695-en.pdf" TargetMode="External"/><Relationship Id="rId32" Type="http://schemas.openxmlformats.org/officeDocument/2006/relationships/hyperlink" Target="https://documents1.worldbank.org/curated/en/099514004022438837/pdf/IDU1d3fb23bf1a94c143ec1bb501f87c9a5983ca.pdf" TargetMode="External"/><Relationship Id="rId53" Type="http://schemas.openxmlformats.org/officeDocument/2006/relationships/hyperlink" Target="https://www.weps.org/sites/default/files/2022-12/WEPs%20BROCHURE%20%28december%202022%29_0.pdf" TargetMode="External"/><Relationship Id="rId74" Type="http://schemas.openxmlformats.org/officeDocument/2006/relationships/hyperlink" Target="https://www.weps.org/sites/default/files/2022-12/WEPs%20BROCHURE%20%28december%202022%29_0.pdf" TargetMode="External"/><Relationship Id="rId128" Type="http://schemas.openxmlformats.org/officeDocument/2006/relationships/hyperlink" Target="https://www.sonataindia.com/downloads/New%20Policies/13.%20LOAN%20AND%20INTEREST%20RATE%20DETERMINATION%20POLICY.pdf" TargetMode="External"/><Relationship Id="rId149" Type="http://schemas.openxmlformats.org/officeDocument/2006/relationships/hyperlink" Target="https://www.mckinsey.com/featured-insights/diversity-and-inclusion/diversity-matters-even-more-the-case-for-holistic-impact" TargetMode="External"/><Relationship Id="rId5" Type="http://schemas.openxmlformats.org/officeDocument/2006/relationships/hyperlink" Target="https://static1.squarespace.com/static/5b180402c3c16a6fe0001e45/t/65e72c44689786427b5b0889/1709648967612/2X+Criteria+Reference+Guide_February+2024.pdf" TargetMode="External"/><Relationship Id="rId95" Type="http://schemas.openxmlformats.org/officeDocument/2006/relationships/hyperlink" Target="https://www.eib.org/en/stories/investing-gender-lens" TargetMode="External"/><Relationship Id="rId160" Type="http://schemas.openxmlformats.org/officeDocument/2006/relationships/hyperlink" Target="https://mneguidelines.oecd.org/mneguidelines/Responsible-Business-Conduct-and-Gender.pdf" TargetMode="External"/><Relationship Id="rId181" Type="http://schemas.openxmlformats.org/officeDocument/2006/relationships/hyperlink" Target="https://www.weps.org/sites/default/files/2021-09/WEPs%20GUIDANCE%20%20Sexual%20Harassment%20EN.pdf" TargetMode="External"/><Relationship Id="rId22" Type="http://schemas.openxmlformats.org/officeDocument/2006/relationships/hyperlink" Target="https://static1.squarespace.com/static/5b180402c3c16a6fe0001e45/t/65e72c44689786427b5b0889/1709648967612/2X+Criteria+Reference+Guide_February+2024.pdf" TargetMode="External"/><Relationship Id="rId43" Type="http://schemas.openxmlformats.org/officeDocument/2006/relationships/hyperlink" Target="https://www3.weforum.org/docs/WEF_GGGR_2024.pdf" TargetMode="External"/><Relationship Id="rId64" Type="http://schemas.openxmlformats.org/officeDocument/2006/relationships/hyperlink" Target="https://www.weps.org/sites/default/files/2020-12/WEPs_GUIDANCE_PRIVATE_SECTOR_PARENTAL_LEAVE.pdf" TargetMode="External"/><Relationship Id="rId118" Type="http://schemas.openxmlformats.org/officeDocument/2006/relationships/hyperlink" Target="https://www.2xchallenge.org/2xcriteria" TargetMode="External"/><Relationship Id="rId139" Type="http://schemas.openxmlformats.org/officeDocument/2006/relationships/hyperlink" Target="https://www.mckinsey.com/~/media/mckinsey/featured%20insights/gender%20equality/women%20in%20leadership%20lessons%20from%20australian%20companies%20leading%20the%20way/women-in-leadership-lessons-from-australian-companies-leading-the-way.pdf" TargetMode="External"/><Relationship Id="rId85" Type="http://schemas.openxmlformats.org/officeDocument/2006/relationships/hyperlink" Target="https://www.weps.org/sites/default/files/2022-12/WEPs%20BROCHURE%20%28december%202022%29_0.pdf" TargetMode="External"/><Relationship Id="rId150" Type="http://schemas.openxmlformats.org/officeDocument/2006/relationships/hyperlink" Target="https://www.mckinsey.com/featured-insights/diversity-and-inclusion/diversity-matters-even-more-the-case-for-holistic-impact" TargetMode="External"/><Relationship Id="rId171" Type="http://schemas.openxmlformats.org/officeDocument/2006/relationships/hyperlink" Target="https://mneguidelines.oecd.org/mneguidelines/" TargetMode="External"/><Relationship Id="rId192" Type="http://schemas.openxmlformats.org/officeDocument/2006/relationships/hyperlink" Target="https://www.weps.org/sites/default/files/2022-12/WEPs%20BROCHURE%20%28december%202022%29_0.pdf" TargetMode="External"/><Relationship Id="rId12" Type="http://schemas.openxmlformats.org/officeDocument/2006/relationships/hyperlink" Target="https://30percentclub.org/" TargetMode="External"/><Relationship Id="rId33" Type="http://schemas.openxmlformats.org/officeDocument/2006/relationships/hyperlink" Target="https://www.weps.org/sites/default/files/2022-12/WEPs%20BROCHURE%20%28december%202022%29_0.pdf" TargetMode="External"/><Relationship Id="rId108" Type="http://schemas.openxmlformats.org/officeDocument/2006/relationships/hyperlink" Target="https://www.cgap.org/sites/default/files/publications/Tech%20Guide_Gender%20Intentional%20Credit%20Scoring%202024%20%281%29.pdf" TargetMode="External"/><Relationship Id="rId129" Type="http://schemas.openxmlformats.org/officeDocument/2006/relationships/hyperlink" Target="https://static1.squarespace.com/static/5b180402c3c16a6fe0001e45/t/65e72c44689786427b5b0889/1709648967612/2X+Criteria+Reference+Guide_February+2024.pdf" TargetMode="External"/><Relationship Id="rId54" Type="http://schemas.openxmlformats.org/officeDocument/2006/relationships/hyperlink" Target="https://www.weps.org/sites/default/files/2022-12/WEPs%20BROCHURE%20%28december%202022%29_0.pdf" TargetMode="External"/><Relationship Id="rId75" Type="http://schemas.openxmlformats.org/officeDocument/2006/relationships/hyperlink" Target="https://www.weps.org/sites/default/files/2022-12/WEPs%20BROCHURE%20%28december%202022%29_0.pdf" TargetMode="External"/><Relationship Id="rId96" Type="http://schemas.openxmlformats.org/officeDocument/2006/relationships/hyperlink" Target="https://www.cgap.org/sites/default/files/publications/Tech%20Guide_Gender%20Intentional%20Credit%20Scoring%202024%20%281%29.pdf" TargetMode="External"/><Relationship Id="rId140" Type="http://schemas.openxmlformats.org/officeDocument/2006/relationships/hyperlink" Target="https://iwforum.org/initiatives/development/fellows/" TargetMode="External"/><Relationship Id="rId161" Type="http://schemas.openxmlformats.org/officeDocument/2006/relationships/hyperlink" Target="https://mneguidelines.oecd.org/mneguidelines/Responsible-Business-Conduct-and-Gender.pdf" TargetMode="External"/><Relationship Id="rId182" Type="http://schemas.openxmlformats.org/officeDocument/2006/relationships/hyperlink" Target="https://www.weps.org/sites/default/files/2020-12/WEPs_GUIDANCE_Mentoring_in_the_Workplace_0.pdf" TargetMode="External"/><Relationship Id="rId6" Type="http://schemas.openxmlformats.org/officeDocument/2006/relationships/hyperlink" Target="https://www.mckinsey.com/featured-insights/diversity-and-inclusion/diversity-matters-even-more-the-case-for-holistic-impact" TargetMode="External"/><Relationship Id="rId23" Type="http://schemas.openxmlformats.org/officeDocument/2006/relationships/hyperlink" Target="https://www3.weforum.org/docs/WEF_GGGR_2024.pdf" TargetMode="External"/><Relationship Id="rId119" Type="http://schemas.openxmlformats.org/officeDocument/2006/relationships/hyperlink" Target="https://pdf.sciencedirectassets.com/305925/1-s2.0-S2214845024X00046/1-s2.0-S2214845024000243/main.pdf?X-Amz-Security-Token=IQoJb3JpZ2luX2VjEDMaCXVzLWVhc3QtMSJGMEQCIDNGFub8WLr9Vcta6O3G%2BxNKZUiF8QM33Z6jcwxyRnItAiAA7gXy%2B6C9St%2FU%2Ffq1el3cyVaW95jpzJhhDubWKaR8FCq7BQis%2F%2F%2F%2F%2F%2F%2F%2F%2F%2F8BEAUaDDA1OTAwMzU0Njg2NSIMGCeWdv2FHjaL10x4Ko8FoPO452FE9Gdot1HrMMO20dk2EqZaUOjgt%2B9ZdpdUVTP%2Boq55aw19eF6%2BWD5vIVSnniuL3URe8vKSFn5%2BNcv1WRKUg%2F0kUgH%2Fa%2BMzjiPtKa9fjy3be3IT5R%2Bm7bT%2FWALUFEU9qy%2FtKNLKnPobJsnYt%2BwFU9%2BCwVSAkkdGM%2FcKjoTRrI%2FjvR%2B9e8qlXWbdf5iYzhnpQKZzSfmcIV%2FnVqaAM2tRx%2BaO4DF8HYqjNWtSqbNswxR6mFwTmvo78Y3KMGoiiHYBt3tPKCD%2FEqKvLXqH0PUlQ7tEWhwOJYpYz37P4smiYZM4pDDpEgt%2FWLcqA5PiRN9sAWR%2F8lmBUootDa7RE8GQFHUGvn1Oxwz7fYesHJM8g0njt7fbWNAdLGgJOJ9cO2mSDbtXmXJalRnx9knpoQd5V95%2FDuWYU%2FA2OKfySXh8xrO57l%2BdclGviY9XABjfRX1CeMLYA%2FQj0%2B%2BwU5iTriesy8QwwF191%2BiF7w0LfZCflPE8B2E4mri4MXyy0009AJXMN0HMA2UL57EDv0OhBkgLShMBLw4L0LecCMyE%2F0nTX8QvwdS8lWFQvo6ekSqqqGTbJ1kEzGGYbVlBOS0jlJtx%2Ba4RVeiRb8Wc8aKuZSKjxdYH5%2F6IVl5EvY6s9gVry%2B9naNHg5gx05IZ97najuBePVNkmcpzwKBc6G7ya2SUWFIyJj6zBpqq1Pp%2BLzTOYjyu2YnAkERj8mWNfCwi6TATEKW8qNXn6i0HJ%2BMwmYmn2v%2BuO3kw299NzLgQHVqOxtqn5IlnzN6PX2zBKJnQTt9xxmJOkKw6sijlaWa5%2BKsDf6TAFJe7rPU75rkLB%2B5ORWrypkLOAF04jRwq1PsHv8jymxXpAkaoVDR4Zdl094DDqpuC%2FBjqyAdz4wg02hWMSIdVGCtc9Dyvscdy4M69WjbXxYsYbo7RSfUJu0ao%2Frfs0mt1S6ktQukluwrQGvihp4wo6fqqtC45SN2aEXM%2BqhwWOhcJ4mjSR%2BVKpGf6fwYwXzcLnpfLP7gwEuSR8rK2kecj55v81lA5WHwvOyWsm1y0WXhESp8rNfwm%2Bs7nPmCB1znq02%2B%2FV%2FJJYW%2BKfk1kJWMJJhlO1l%2FEa4sOcezLvbHqiZ4lNh1BLcxk%3D&amp;X-Amz-Algorithm=AWS4-HMAC-SHA256&amp;X-Amz-Date=20250410T195152Z&amp;X-Amz-SignedHeaders=host&amp;X-Amz-Expires=300&amp;X-Amz-Credential=ASIAQ3PHCVTYVROYONMG%2F20250410%2Fus-east-1%2Fs3%2Faws4_request&amp;X-Amz-Signature=14d197c70cfa8b205538c063050306e45f34c70839d5fae76bf25cdccef500e8&amp;hash=42517c5cea91370664b956f9cdb156319c4d9f91de0396ecd666b0814ba79046&amp;host=68042c943591013ac2b2430a89b270f6af2c76d8dfd086a07176afe7c76c2c61&amp;pii=S2214845024000243&amp;tid=spdf-5f96efd3-7dc1-44c3-902b-4a1f94333537&amp;sid=1822cccb4ed4904eb95adea19d94f5eaf118gxrqa&amp;ty" TargetMode="External"/><Relationship Id="rId44" Type="http://schemas.openxmlformats.org/officeDocument/2006/relationships/hyperlink" Target="https://www.ilo.org/sites/default/files/wcmsp5/groups/public/%40ed_norm/%40declaration/documents/publication/wcms_536630.pdf" TargetMode="External"/><Relationship Id="rId65" Type="http://schemas.openxmlformats.org/officeDocument/2006/relationships/hyperlink" Target="https://www.ilo.org/sites/default/files/wcmsp5/groups/public/@dgreports/@gender/documents/publication/wcms_838655.pdf" TargetMode="External"/><Relationship Id="rId86" Type="http://schemas.openxmlformats.org/officeDocument/2006/relationships/hyperlink" Target="https://www.weps.org/sites/default/files/2022-12/WEPs%20BROCHURE%20%28december%202022%29_0.pdf" TargetMode="External"/><Relationship Id="rId130" Type="http://schemas.openxmlformats.org/officeDocument/2006/relationships/hyperlink" Target="https://www.mckinsey.com/~/media/mckinsey/featured%20insights/diversity%20and%20inclusion/women%20in%20the%20workplace%202022/women-in-the-workplace-2022.pdf" TargetMode="External"/><Relationship Id="rId151" Type="http://schemas.openxmlformats.org/officeDocument/2006/relationships/hyperlink" Target="https://webapps.ilo.org/infostories/en-GB/Stories/Employment/barriers-women" TargetMode="External"/><Relationship Id="rId172" Type="http://schemas.openxmlformats.org/officeDocument/2006/relationships/hyperlink" Target="https://www.ilo.org/sites/default/files/wcmsp5/groups/public/@dgreports/@gender/documents/publication/wcms_838655.pdf" TargetMode="External"/><Relationship Id="rId193" Type="http://schemas.openxmlformats.org/officeDocument/2006/relationships/hyperlink" Target="https://www.equalityhumanrights.com/guidance/pregnancy-adoption-and-maternity-return-work" TargetMode="External"/><Relationship Id="rId13" Type="http://schemas.openxmlformats.org/officeDocument/2006/relationships/hyperlink" Target="https://www.mckinsey.com/featured-insights/diversity-and-inclusion/diversity-matters-even-more-the-case-for-holistic-impact" TargetMode="External"/><Relationship Id="rId109" Type="http://schemas.openxmlformats.org/officeDocument/2006/relationships/hyperlink" Target="https://www.cgap.org/sites/default/files/publications/Tech%20Guide_Gender%20Intentional%20Credit%20Scoring%202024%20%281%29.pdf" TargetMode="External"/><Relationship Id="rId34" Type="http://schemas.openxmlformats.org/officeDocument/2006/relationships/hyperlink" Target="https://www.weps.org/sites/default/files/2022-12/WEPs%20BROCHURE%20%28december%202022%29_0.pdf" TargetMode="External"/><Relationship Id="rId55" Type="http://schemas.openxmlformats.org/officeDocument/2006/relationships/hyperlink" Target="https://council.science/member/organization-for-women-in-science-for-the-developing-worlds-owsd/" TargetMode="External"/><Relationship Id="rId76" Type="http://schemas.openxmlformats.org/officeDocument/2006/relationships/hyperlink" Target="https://www.forbes.com/sites/kalinabryant/2024/03/27/the-impact-of-flexible-work-and-the-importance-of-adapting-to-change/" TargetMode="External"/><Relationship Id="rId97" Type="http://schemas.openxmlformats.org/officeDocument/2006/relationships/hyperlink" Target="https://www.2xchallenge.org/2xcriteria" TargetMode="External"/><Relationship Id="rId120" Type="http://schemas.openxmlformats.org/officeDocument/2006/relationships/hyperlink" Target="https://www.unwomen.org/sites/default/files/2023-12/booklet-gender-finance-2023-en.pdf" TargetMode="External"/><Relationship Id="rId141" Type="http://schemas.openxmlformats.org/officeDocument/2006/relationships/hyperlink" Target="https://www.unwomen.org/sites/default/files/Headquarters/Attachments/Sections/How%20We%20Work/Gender-parity/Gender-parity-Vacancy-announcements-good-practices-en.pdf" TargetMode="External"/><Relationship Id="rId7" Type="http://schemas.openxmlformats.org/officeDocument/2006/relationships/hyperlink" Target="https://www.mckinsey.com/~/media/mckinsey/featured%20insights/diversity%20and%20inclusion/women%20in%20the%20workplace%202022/women-in-the-workplace-2022.pdf" TargetMode="External"/><Relationship Id="rId162" Type="http://schemas.openxmlformats.org/officeDocument/2006/relationships/hyperlink" Target="https://mneguidelines.oecd.org/mneguidelines/Responsible-Business-Conduct-and-Gender.pdf" TargetMode="External"/><Relationship Id="rId183" Type="http://schemas.openxmlformats.org/officeDocument/2006/relationships/hyperlink" Target="https://www.weps.org/sites/default/files/2020-12/WEPs_GUIDANCE_Mentoring_in_the_Workplace_0.pdf" TargetMode="External"/><Relationship Id="rId2" Type="http://schemas.openxmlformats.org/officeDocument/2006/relationships/hyperlink" Target="https://static1.squarespace.com/static/5b180402c3c16a6fe0001e45/t/65e72c44689786427b5b0889/1709648967612/2X+Criteria+Reference+Guide_February+2024.pdf" TargetMode="External"/><Relationship Id="rId29" Type="http://schemas.openxmlformats.org/officeDocument/2006/relationships/hyperlink" Target="https://www.weps.org/sites/default/files/2022-12/WEPs%20BROCHURE%20%28december%202022%29_0.pdf" TargetMode="External"/><Relationship Id="rId24" Type="http://schemas.openxmlformats.org/officeDocument/2006/relationships/hyperlink" Target="https://www.ifc.org/content/dam/ifc/doc/2025/closing-the-gender-gap-in-education-and-employment.pdf" TargetMode="External"/><Relationship Id="rId40" Type="http://schemas.openxmlformats.org/officeDocument/2006/relationships/hyperlink" Target="https://www.ilo.org/sites/default/files/wcmsp5/groups/public/%40ed_norm/%40declaration/documents/publication/wcms_536630.pdf" TargetMode="External"/><Relationship Id="rId45" Type="http://schemas.openxmlformats.org/officeDocument/2006/relationships/hyperlink" Target="https://www.weps.org/sites/default/files/2022-12/WEPs%20BROCHURE%20%28december%202022%29_0.pdf" TargetMode="External"/><Relationship Id="rId66" Type="http://schemas.openxmlformats.org/officeDocument/2006/relationships/hyperlink" Target="https://www.weps.org/sites/default/files/2022-12/WEPs%20BROCHURE%20%28december%202022%29_0.pdf" TargetMode="External"/><Relationship Id="rId87" Type="http://schemas.openxmlformats.org/officeDocument/2006/relationships/hyperlink" Target="https://heinonline.org/HOL/Page?handle=hein.journals/cdozo44&amp;div=7&amp;g_sent=1&amp;casa_token=&amp;collection=journals" TargetMode="External"/><Relationship Id="rId110" Type="http://schemas.openxmlformats.org/officeDocument/2006/relationships/hyperlink" Target="https://www.cgap.org/sites/default/files/publications/Tech%20Guide_Gender%20Intentional%20Credit%20Scoring%202024%20%281%29.pdf" TargetMode="External"/><Relationship Id="rId115" Type="http://schemas.openxmlformats.org/officeDocument/2006/relationships/hyperlink" Target="https://ervet-journal.springeropen.com/articles/10.1186/s40461-023-00147-9" TargetMode="External"/><Relationship Id="rId131" Type="http://schemas.openxmlformats.org/officeDocument/2006/relationships/hyperlink" Target="https://www.mckinsey.com/~/media/mckinsey/featured%20insights/diversity%20and%20inclusion/women%20in%20the%20workplace%202022/women-in-the-workplace-2022.pdf" TargetMode="External"/><Relationship Id="rId136" Type="http://schemas.openxmlformats.org/officeDocument/2006/relationships/hyperlink" Target="https://www.mckinsey.com/~/media/mckinsey/featured%20insights/gender%20equality/women%20in%20leadership%20lessons%20from%20australian%20companies%20leading%20the%20way/women-in-leadership-lessons-from-australian-companies-leading-the-way.pdf" TargetMode="External"/><Relationship Id="rId157" Type="http://schemas.openxmlformats.org/officeDocument/2006/relationships/hyperlink" Target="https://www.ilo.org/sites/default/files/wcmsp5/groups/public/%40ed_norm/%40declaration/documents/publication/wcms_536630.pdf" TargetMode="External"/><Relationship Id="rId178" Type="http://schemas.openxmlformats.org/officeDocument/2006/relationships/hyperlink" Target="https://www.weps.org/sites/default/files/2021-02/WEPs_Flexible_Work_Policy_Template.pdf" TargetMode="External"/><Relationship Id="rId61" Type="http://schemas.openxmlformats.org/officeDocument/2006/relationships/hyperlink" Target="https://www.weps.org/sites/default/files/2025-01/White%20paper%2017%20Jan%202025%20FINAL.pdf" TargetMode="External"/><Relationship Id="rId82" Type="http://schemas.openxmlformats.org/officeDocument/2006/relationships/hyperlink" Target="https://www.weps.org/sites/default/files/2022-12/WEPs%20BROCHURE%20%28december%202022%29_0.pdf" TargetMode="External"/><Relationship Id="rId152" Type="http://schemas.openxmlformats.org/officeDocument/2006/relationships/hyperlink" Target="https://webapps.ilo.org/infostories/en-GB/Stories/Employment/barriers-women" TargetMode="External"/><Relationship Id="rId173" Type="http://schemas.openxmlformats.org/officeDocument/2006/relationships/hyperlink" Target="https://eige.europa.eu/publications-resources/toolkits-guides/gender-equality-index-2019-report/parental-leave-policies?language_content_entity=en" TargetMode="External"/><Relationship Id="rId194" Type="http://schemas.openxmlformats.org/officeDocument/2006/relationships/hyperlink" Target="https://www.weps.org/sites/default/files/2021-03/Policy_Template_Domestic_Violence.pdf" TargetMode="External"/><Relationship Id="rId199" Type="http://schemas.openxmlformats.org/officeDocument/2006/relationships/drawing" Target="../drawings/drawing1.xml"/><Relationship Id="rId19" Type="http://schemas.openxmlformats.org/officeDocument/2006/relationships/hyperlink" Target="https://www.mckinsey.com/featured-insights/diversity-and-inclusion/diversity-matters-even-more-the-case-for-holistic-impact" TargetMode="External"/><Relationship Id="rId14" Type="http://schemas.openxmlformats.org/officeDocument/2006/relationships/hyperlink" Target="https://www.weps.org/resource/mentoring-workplace" TargetMode="External"/><Relationship Id="rId30" Type="http://schemas.openxmlformats.org/officeDocument/2006/relationships/hyperlink" Target="https://www.weps.org/sites/default/files/2022-12/WEPs%20BROCHURE%20%28december%202022%29_0.pdf" TargetMode="External"/><Relationship Id="rId35" Type="http://schemas.openxmlformats.org/officeDocument/2006/relationships/hyperlink" Target="https://www.mckinsey.com/featured-insights/diversity-and-inclusion/diversity-matters-even-more-the-case-for-holistic-impact" TargetMode="External"/><Relationship Id="rId56" Type="http://schemas.openxmlformats.org/officeDocument/2006/relationships/hyperlink" Target="https://www.weps.org/sites/default/files/2022-12/WEPs%20BROCHURE%20%28december%202022%29_0.pdf" TargetMode="External"/><Relationship Id="rId77" Type="http://schemas.openxmlformats.org/officeDocument/2006/relationships/hyperlink" Target="https://www.weps.org/sites/default/files/2021-02/WEPs_Flexible_Work_Policy_Template.pdf" TargetMode="External"/><Relationship Id="rId100" Type="http://schemas.openxmlformats.org/officeDocument/2006/relationships/hyperlink" Target="https://www.cgap.org/sites/default/files/publications/Tech%20Guide_Gender%20Intentional%20Credit%20Scoring%202024%20%281%29.pdf" TargetMode="External"/><Relationship Id="rId105" Type="http://schemas.openxmlformats.org/officeDocument/2006/relationships/hyperlink" Target="https://www.cgap.org/sites/default/files/publications/Tech%20Guide_Gender%20Intentional%20Credit%20Scoring%202024%20%281%29.pdf" TargetMode="External"/><Relationship Id="rId126" Type="http://schemas.openxmlformats.org/officeDocument/2006/relationships/hyperlink" Target="https://poverty-action.org/sites/default/files/2024-10/Women%E2%80%99s%20Economic%20Activity_10.9.24.pdf" TargetMode="External"/><Relationship Id="rId147" Type="http://schemas.openxmlformats.org/officeDocument/2006/relationships/hyperlink" Target="https://documents1.worldbank.org/curated/en/099514004022438837/pdf/IDU1d3fb23bf1a94c143ec1bb501f87c9a5983ca.pdf" TargetMode="External"/><Relationship Id="rId168" Type="http://schemas.openxmlformats.org/officeDocument/2006/relationships/hyperlink" Target="https://www.weps.org/sites/default/files/2025-01/White%20paper%2017%20Jan%202025%20FINAL.pdf" TargetMode="External"/><Relationship Id="rId8" Type="http://schemas.openxmlformats.org/officeDocument/2006/relationships/hyperlink" Target="https://www.weps.org/sites/default/files/2022-12/WEPs%20BROCHURE%20%28december%202022%29_0.pdf" TargetMode="External"/><Relationship Id="rId51" Type="http://schemas.openxmlformats.org/officeDocument/2006/relationships/hyperlink" Target="https://www.womensworldbanking.org/wp-content/uploads/2024/10/The-Gender-Performance-Checklist.pdf" TargetMode="External"/><Relationship Id="rId72" Type="http://schemas.openxmlformats.org/officeDocument/2006/relationships/hyperlink" Target="https://www.weps.org/sites/default/files/2021-03/POLICY_TEMPLATE_Gender_based_violence.pdf" TargetMode="External"/><Relationship Id="rId93" Type="http://schemas.openxmlformats.org/officeDocument/2006/relationships/hyperlink" Target="https://www.2xchallenge.org/2xcriteria" TargetMode="External"/><Relationship Id="rId98" Type="http://schemas.openxmlformats.org/officeDocument/2006/relationships/hyperlink" Target="https://www.2xchallenge.org/2xcriteria" TargetMode="External"/><Relationship Id="rId121" Type="http://schemas.openxmlformats.org/officeDocument/2006/relationships/hyperlink" Target="https://www.womensworldbanking.org/insights/in-a-world-of-gender-bias-lendingkarts-ai-based-credit-model-stands-apart/" TargetMode="External"/><Relationship Id="rId142" Type="http://schemas.openxmlformats.org/officeDocument/2006/relationships/hyperlink" Target="https://www.worldbank.org/content/dam/Worldbank/document/Gender/GenderAtWork_web.pdf" TargetMode="External"/><Relationship Id="rId163" Type="http://schemas.openxmlformats.org/officeDocument/2006/relationships/hyperlink" Target="https://www.worldbank.org/content/dam/Worldbank/document/Gender/GenderAtWork_web.pdf" TargetMode="External"/><Relationship Id="rId184" Type="http://schemas.openxmlformats.org/officeDocument/2006/relationships/hyperlink" Target="https://www.ilo.org/sites/default/files/wcmsp5/groups/public/@dgreports/@gender/documents/publication/wcms_101030.pdf" TargetMode="External"/><Relationship Id="rId189" Type="http://schemas.openxmlformats.org/officeDocument/2006/relationships/hyperlink" Target="https://www.mckinsey.com/~/media/mckinsey/featured%20insights/diversity%20and%20inclusion/women%20in%20the%20workplace%202022/women-in-the-workplace-2022.pdf" TargetMode="External"/><Relationship Id="rId3" Type="http://schemas.openxmlformats.org/officeDocument/2006/relationships/hyperlink" Target="https://www3.weforum.org/docs/WEF_GGGR_2024.pdf" TargetMode="External"/><Relationship Id="rId25" Type="http://schemas.openxmlformats.org/officeDocument/2006/relationships/hyperlink" Target="https://www.weps.org/sites/default/files/2022-12/WEPs%20BROCHURE%20%28december%202022%29_0.pdf" TargetMode="External"/><Relationship Id="rId46" Type="http://schemas.openxmlformats.org/officeDocument/2006/relationships/hyperlink" Target="https://www.weps.org/sites/default/files/2022-12/WEPs%20BROCHURE%20%28december%202022%29_0.pdf" TargetMode="External"/><Relationship Id="rId67" Type="http://schemas.openxmlformats.org/officeDocument/2006/relationships/hyperlink" Target="https://www.weps.org/sites/default/files/2022-12/WEPs%20BROCHURE%20%28december%202022%29_0.pdf" TargetMode="External"/><Relationship Id="rId116" Type="http://schemas.openxmlformats.org/officeDocument/2006/relationships/hyperlink" Target="https://www.giz.de/expertise/downloads/2021%20giz%20womens%20financial%20inclusion%20toolkit.pdf" TargetMode="External"/><Relationship Id="rId137" Type="http://schemas.openxmlformats.org/officeDocument/2006/relationships/hyperlink" Target="https://static1.squarespace.com/static/5b180402c3c16a6fe0001e45/t/65e72c44689786427b5b0889/1709648967612/2X+Criteria+Reference+Guide_February+2024.pdf" TargetMode="External"/><Relationship Id="rId158" Type="http://schemas.openxmlformats.org/officeDocument/2006/relationships/hyperlink" Target="https://www.oecd.org/en/topics/sub-issues/child-and-family-well-being.html" TargetMode="External"/><Relationship Id="rId20" Type="http://schemas.openxmlformats.org/officeDocument/2006/relationships/hyperlink" Target="https://www.womensworldbanking.org/wp-content/uploads/2024/10/The-Gender-Performance-Checklist.pdf" TargetMode="External"/><Relationship Id="rId41" Type="http://schemas.openxmlformats.org/officeDocument/2006/relationships/hyperlink" Target="https://www.weps.org/sites/default/files/2022-12/WEPs%20BROCHURE%20%28december%202022%29_0.pdf" TargetMode="External"/><Relationship Id="rId62" Type="http://schemas.openxmlformats.org/officeDocument/2006/relationships/hyperlink" Target="https://www.weps.org/sites/default/files/2022-12/WEPs%20BROCHURE%20%28december%202022%29_0.pdf" TargetMode="External"/><Relationship Id="rId83" Type="http://schemas.openxmlformats.org/officeDocument/2006/relationships/hyperlink" Target="https://www.weps.org/sites/default/files/2022-12/WEPs%20BROCHURE%20%28december%202022%29_0.pdf" TargetMode="External"/><Relationship Id="rId88" Type="http://schemas.openxmlformats.org/officeDocument/2006/relationships/hyperlink" Target="https://cris.maastrichtuniversity.nl/ws/portalfiles/portal/114785758/aiconomics_policybrief02_eng_V2.pdf" TargetMode="External"/><Relationship Id="rId111" Type="http://schemas.openxmlformats.org/officeDocument/2006/relationships/hyperlink" Target="https://www.cgap.org/sites/default/files/publications/Tech%20Guide_Gender%20Intentional%20Credit%20Scoring%202024%20%281%29.pdf" TargetMode="External"/><Relationship Id="rId132" Type="http://schemas.openxmlformats.org/officeDocument/2006/relationships/hyperlink" Target="https://www.mckinsey.com/~/media/mckinsey/featured%20insights/diversity%20and%20inclusion/women%20in%20the%20workplace%202022/women-in-the-workplace-2022.pdf" TargetMode="External"/><Relationship Id="rId153" Type="http://schemas.openxmlformats.org/officeDocument/2006/relationships/hyperlink" Target="https://papers.ssrn.com/sol3/papers.cfm?abstract_id=2046076" TargetMode="External"/><Relationship Id="rId174" Type="http://schemas.openxmlformats.org/officeDocument/2006/relationships/hyperlink" Target="https://eige.europa.eu/publications-resources/toolkits-guides/gender-equality-index-2019-report/parental-leave-policies?language_content_entity=en" TargetMode="External"/><Relationship Id="rId179" Type="http://schemas.openxmlformats.org/officeDocument/2006/relationships/hyperlink" Target="https://www.weps.org/sites/default/files/2020-12/WEPs_GUIDANCE_Mentoring_in_the_Workplace_0.pdf" TargetMode="External"/><Relationship Id="rId195" Type="http://schemas.openxmlformats.org/officeDocument/2006/relationships/hyperlink" Target="https://gendertoolkit.bii.co.uk/wp-content/uploads/2020/11/Gender-smart-Investing-Guide-for-Fund-Managers.pdf" TargetMode="External"/><Relationship Id="rId190" Type="http://schemas.openxmlformats.org/officeDocument/2006/relationships/hyperlink" Target="https://www.oecd.org/content/dam/oecd/en/publications/reports/2021/11/pay-transparency-tools-to-close-the-gender-wage-gap_38af4a31/eba5b91d-en.pdf" TargetMode="External"/><Relationship Id="rId15" Type="http://schemas.openxmlformats.org/officeDocument/2006/relationships/hyperlink" Target="https://static1.squarespace.com/static/5b180402c3c16a6fe0001e45/t/65e72c44689786427b5b0889/1709648967612/2X+Criteria+Reference+Guide_February+2024.pdf" TargetMode="External"/><Relationship Id="rId36" Type="http://schemas.openxmlformats.org/officeDocument/2006/relationships/hyperlink" Target="https://webapps.ilo.org/infostories/en-GB/Stories/Employment/barriers-women" TargetMode="External"/><Relationship Id="rId57" Type="http://schemas.openxmlformats.org/officeDocument/2006/relationships/hyperlink" Target="https://www.weps.org/sites/default/files/2022-12/WEPs%20BROCHURE%20%28december%202022%29_0.pdf" TargetMode="External"/><Relationship Id="rId106" Type="http://schemas.openxmlformats.org/officeDocument/2006/relationships/hyperlink" Target="https://www.cgap.org/sites/default/files/publications/Tech%20Guide_Gender%20Intentional%20Credit%20Scoring%202024%20%281%29.pdf" TargetMode="External"/><Relationship Id="rId127" Type="http://schemas.openxmlformats.org/officeDocument/2006/relationships/hyperlink" Target="https://www.povertyactionlab.org/sites/default/files/research-paper/working-paper_9256_Repayment-Flexibility-and-Risk-Taking_Bangladesh_April2021.pdf" TargetMode="External"/><Relationship Id="rId10" Type="http://schemas.openxmlformats.org/officeDocument/2006/relationships/hyperlink" Target="https://www.mckinsey.com/featured-insights/diversity-and-inclusion/diversity-matters-even-more-the-case-for-holistic-impact" TargetMode="External"/><Relationship Id="rId31" Type="http://schemas.openxmlformats.org/officeDocument/2006/relationships/hyperlink" Target="https://gendertoolkit.bii.co.uk/wp-content/uploads/2020/11/Gender-smart-Investing-Guide-for-Fund-Managers.pdf" TargetMode="External"/><Relationship Id="rId52" Type="http://schemas.openxmlformats.org/officeDocument/2006/relationships/hyperlink" Target="https://www.unwomen.org/sites/default/files/2023-12/booklet-gender-finance-2023-en.pdf" TargetMode="External"/><Relationship Id="rId73" Type="http://schemas.openxmlformats.org/officeDocument/2006/relationships/hyperlink" Target="https://www.weps.org/sites/default/files/2021-09/WEPs%20GUIDANCE%20%20Sexual%20Harassment%20EN.pdf" TargetMode="External"/><Relationship Id="rId78" Type="http://schemas.openxmlformats.org/officeDocument/2006/relationships/hyperlink" Target="https://www.weps.org/sites/default/files/2022-12/WEPs%20BROCHURE%20%28december%202022%29_0.pdf" TargetMode="External"/><Relationship Id="rId94" Type="http://schemas.openxmlformats.org/officeDocument/2006/relationships/hyperlink" Target="https://www.2xchallenge.org/2xcriteria" TargetMode="External"/><Relationship Id="rId99" Type="http://schemas.openxmlformats.org/officeDocument/2006/relationships/hyperlink" Target="https://www.womensworldbanking.org/insights/womens-world-bankings-2021-impact-report/" TargetMode="External"/><Relationship Id="rId101" Type="http://schemas.openxmlformats.org/officeDocument/2006/relationships/hyperlink" Target="https://www.2xchallenge.org/2xcriteria" TargetMode="External"/><Relationship Id="rId122" Type="http://schemas.openxmlformats.org/officeDocument/2006/relationships/hyperlink" Target="https://www.ecb.europa.eu/pub/pdf/scpwps/ecbwp1822.en.pdf" TargetMode="External"/><Relationship Id="rId143" Type="http://schemas.openxmlformats.org/officeDocument/2006/relationships/hyperlink" Target="https://www.aauw.org/app/uploads/2022/12/SimpleTruth_12.22_2.1-002.pdf" TargetMode="External"/><Relationship Id="rId148" Type="http://schemas.openxmlformats.org/officeDocument/2006/relationships/hyperlink" Target="https://www.ilo.org/sites/default/files/wcmsp5/groups/public/%40dgreports/%40gender/documents/publication/wcms_187411.pdf" TargetMode="External"/><Relationship Id="rId164" Type="http://schemas.openxmlformats.org/officeDocument/2006/relationships/hyperlink" Target="https://www.mckinsey.com/~/media/McKinsey/Featured%20Insights/Gender%20Equality/Women%20in%20the%20Workplace%202019/Women-in-the-workplace-2019.pdf" TargetMode="External"/><Relationship Id="rId169" Type="http://schemas.openxmlformats.org/officeDocument/2006/relationships/hyperlink" Target="https://www.weps.org/sites/default/files/2025-01/White%20paper%2017%20Jan%202025%20FINAL.pdf" TargetMode="External"/><Relationship Id="rId185" Type="http://schemas.openxmlformats.org/officeDocument/2006/relationships/hyperlink" Target="https://eige.europa.eu/gender-mainstreaming/tools-methods/gender-audit?language_content_entity=en" TargetMode="External"/><Relationship Id="rId4" Type="http://schemas.openxmlformats.org/officeDocument/2006/relationships/hyperlink" Target="https://www.weps.org/sites/default/files/2022-12/WEPs%20BROCHURE%20%28december%202022%29_0.pdf" TargetMode="External"/><Relationship Id="rId9" Type="http://schemas.openxmlformats.org/officeDocument/2006/relationships/hyperlink" Target="https://30percentclub.org/" TargetMode="External"/><Relationship Id="rId180" Type="http://schemas.openxmlformats.org/officeDocument/2006/relationships/hyperlink" Target="https://www.weps.org/sites/default/files/2021-03/POLICY_TEMPLATE_Gender_based_violence.pdf" TargetMode="External"/><Relationship Id="rId26" Type="http://schemas.openxmlformats.org/officeDocument/2006/relationships/hyperlink" Target="https://normlex.ilo.org/dyn/nrmlx_en/f?p=NORMLEXPUB:12100:0::NO::P12100_Ilo_Code:C100" TargetMode="External"/><Relationship Id="rId47" Type="http://schemas.openxmlformats.org/officeDocument/2006/relationships/hyperlink" Target="https://www.weps.org/sites/default/files/2025-01/White%20paper%2017%20Jan%202025%20FINAL.pdf" TargetMode="External"/><Relationship Id="rId68" Type="http://schemas.openxmlformats.org/officeDocument/2006/relationships/hyperlink" Target="https://www.ifc.org/content/dam/ifc/doc/mgrt/nondiscrimination.pdf" TargetMode="External"/><Relationship Id="rId89" Type="http://schemas.openxmlformats.org/officeDocument/2006/relationships/hyperlink" Target="https://www.weps.org/sites/default/files/2022-12/WEPs%20BROCHURE%20%28december%202022%29_0.pdf" TargetMode="External"/><Relationship Id="rId112" Type="http://schemas.openxmlformats.org/officeDocument/2006/relationships/hyperlink" Target="https://www.cgap.org/sites/default/files/publications/Tech%20Guide_Gender%20Intentional%20Credit%20Scoring%202024%20%281%29.pdf" TargetMode="External"/><Relationship Id="rId133" Type="http://schemas.openxmlformats.org/officeDocument/2006/relationships/hyperlink" Target="https://gendertoolkit.bii.co.uk/wp-content/uploads/2020/11/Gender-smart-Investing-Guide-for-Fund-Managers.pdf" TargetMode="External"/><Relationship Id="rId154" Type="http://schemas.openxmlformats.org/officeDocument/2006/relationships/hyperlink" Target="https://www.wellable.co/blog/buzzfeeds-parental-leave-benefits-result-in-95-retention-rate/" TargetMode="External"/><Relationship Id="rId175" Type="http://schemas.openxmlformats.org/officeDocument/2006/relationships/hyperlink" Target="https://www.weps.org/sites/default/files/2021-03/POLICY_TEMPLATE_Gender_based_violence.pdf" TargetMode="External"/><Relationship Id="rId196" Type="http://schemas.openxmlformats.org/officeDocument/2006/relationships/hyperlink" Target="https://www.weps.org/sites/default/files/2022-12/WEPs%20BROCHURE%20%28december%202022%29_0.pdf" TargetMode="External"/><Relationship Id="rId200" Type="http://schemas.openxmlformats.org/officeDocument/2006/relationships/vmlDrawing" Target="../drawings/vmlDrawing2.vml"/><Relationship Id="rId16" Type="http://schemas.openxmlformats.org/officeDocument/2006/relationships/hyperlink" Target="https://www.mckinsey.com/featured-insights/diversity-and-inclusion/diversity-matters-even-more-the-case-for-holistic-impact" TargetMode="External"/><Relationship Id="rId37" Type="http://schemas.openxmlformats.org/officeDocument/2006/relationships/hyperlink" Target="https://www.weps.org/sites/default/files/2022-12/WEPs%20BROCHURE%20%28december%202022%29_0.pdf" TargetMode="External"/><Relationship Id="rId58" Type="http://schemas.openxmlformats.org/officeDocument/2006/relationships/hyperlink" Target="https://www.unwomen.org/en/news-stories/press-release/2024/09/heforshe-marks-ten-years-with-a-movement-of-2-million-gender-equality-activists-welcomes-new-champions" TargetMode="External"/><Relationship Id="rId79" Type="http://schemas.openxmlformats.org/officeDocument/2006/relationships/hyperlink" Target="https://www.weps.org/sites/default/files/2022-12/WEPs%20BROCHURE%20%28december%202022%29_0.pdf" TargetMode="External"/><Relationship Id="rId102" Type="http://schemas.openxmlformats.org/officeDocument/2006/relationships/hyperlink" Target="https://www.2xchallenge.org/2xcriteria" TargetMode="External"/><Relationship Id="rId123" Type="http://schemas.openxmlformats.org/officeDocument/2006/relationships/hyperlink" Target="https://www.ecb.europa.eu/pub/pdf/scpwps/ecbwp1822.en.pdf" TargetMode="External"/><Relationship Id="rId144" Type="http://schemas.openxmlformats.org/officeDocument/2006/relationships/hyperlink" Target="https://www.eib.org/attachments/lucalli/20230386_gender_overview_2024_en.pdf" TargetMode="External"/><Relationship Id="rId90" Type="http://schemas.openxmlformats.org/officeDocument/2006/relationships/hyperlink" Target="https://www.weps.org/sites/default/files/2022-12/WEPs%20BROCHURE%20%28december%202022%29_0.pdf" TargetMode="External"/><Relationship Id="rId165" Type="http://schemas.openxmlformats.org/officeDocument/2006/relationships/hyperlink" Target="https://www.reuters.com/world/world-bank-rolls-out-new-strategy-boost-economic-opportunities-women-2024-10-25/" TargetMode="External"/><Relationship Id="rId186" Type="http://schemas.openxmlformats.org/officeDocument/2006/relationships/hyperlink" Target="https://www.womensworldbanking.org/insights/in-a-world-of-gender-bias-lendingkarts-ai-based-credit-model-stands-apart/" TargetMode="External"/><Relationship Id="rId27" Type="http://schemas.openxmlformats.org/officeDocument/2006/relationships/hyperlink" Target="https://www.aauw.org/app/uploads/2020/02/AAUW-2018-SimpleTruth-nsa.pdf" TargetMode="External"/><Relationship Id="rId48" Type="http://schemas.openxmlformats.org/officeDocument/2006/relationships/hyperlink" Target="https://mneguidelines.oecd.org/mneguidelines/Responsible-Business-Conduct-and-Gender.pdf" TargetMode="External"/><Relationship Id="rId69" Type="http://schemas.openxmlformats.org/officeDocument/2006/relationships/hyperlink" Target="https://www.ilo.org/sites/default/files/wcmsp5/groups/public/@dgreports/@dcomm/@publ/documents/publication/wcms_216695.pdf" TargetMode="External"/><Relationship Id="rId113" Type="http://schemas.openxmlformats.org/officeDocument/2006/relationships/hyperlink" Target="https://digitalforwomen.worldbank.org/main-vertical-constraints" TargetMode="External"/><Relationship Id="rId134" Type="http://schemas.openxmlformats.org/officeDocument/2006/relationships/hyperlink" Target="https://www.womensworldbanking.org/wp-content/uploads/2024/10/The-Gender-Performance-Checklist.pdf" TargetMode="External"/><Relationship Id="rId80" Type="http://schemas.openxmlformats.org/officeDocument/2006/relationships/hyperlink" Target="https://www.aauw.org/app/uploads/2020/03/Limiting-our-Livelihoods-Full-Report.pdf" TargetMode="External"/><Relationship Id="rId155" Type="http://schemas.openxmlformats.org/officeDocument/2006/relationships/hyperlink" Target="https://www.gpigroup.com/en/news/93-of-women-remain-with-the-company-12-months-after-maternity-leave/" TargetMode="External"/><Relationship Id="rId176" Type="http://schemas.openxmlformats.org/officeDocument/2006/relationships/hyperlink" Target="https://www.weps.org/sites/default/files/2021-03/POLICY_TEMPLATE_Gender_based_violence.pdf" TargetMode="External"/><Relationship Id="rId197" Type="http://schemas.openxmlformats.org/officeDocument/2006/relationships/hyperlink" Target="https://gendertoolkit.bii.co.uk/wp-content/uploads/2020/11/Gender-smart-Investing-Guide-for-Fund-Managers.pdf" TargetMode="External"/><Relationship Id="rId201" Type="http://schemas.openxmlformats.org/officeDocument/2006/relationships/comments" Target="../comments2.xml"/><Relationship Id="rId17" Type="http://schemas.openxmlformats.org/officeDocument/2006/relationships/hyperlink" Target="https://gendertoolkit.bii.co.uk/wp-content/uploads/2020/11/Gender-smart-Investing-Guide-for-Fund-Managers.pdf" TargetMode="External"/><Relationship Id="rId38" Type="http://schemas.openxmlformats.org/officeDocument/2006/relationships/hyperlink" Target="https://www.bcg.com/publications/2017/human-resources-people-organization-why-paid-family-leave-is-good-business" TargetMode="External"/><Relationship Id="rId59" Type="http://schemas.openxmlformats.org/officeDocument/2006/relationships/hyperlink" Target="https://www.weps.org/sites/default/files/2022-12/WEPs%20BROCHURE%20%28december%202022%29_0.pdf" TargetMode="External"/><Relationship Id="rId103" Type="http://schemas.openxmlformats.org/officeDocument/2006/relationships/hyperlink" Target="https://www.google.com/url?sa=t&amp;source=web&amp;rct=j&amp;opi=89978449&amp;url=https://publications.iadb.org/publications/english/document/Financing-Programs-for-Womens-Financial-Inclusion-and-Access-to-Finance-for-Women-MSMEs--Results-from-a-Survey-of-Public-Development-Banks.pdf&amp;ved=2ahUKEwj5lbrpmb2MAxUEhIkEHZNnEnIQFnoECDMQAQ&amp;usg=AOvVaw3FU0pHaEOG43Qgv24ifJ1Z" TargetMode="External"/><Relationship Id="rId124" Type="http://schemas.openxmlformats.org/officeDocument/2006/relationships/hyperlink" Target="https://www.womensworldbanking.org/wp-content/uploads/2022/12/Check-Your-Bias-A-Field-Guide-for-Lenders.pdf" TargetMode="External"/><Relationship Id="rId70" Type="http://schemas.openxmlformats.org/officeDocument/2006/relationships/hyperlink" Target="https://www.weps.org/sites/default/files/2022-12/WEPs%20BROCHURE%20%28december%202022%29_0.pdf" TargetMode="External"/><Relationship Id="rId91" Type="http://schemas.openxmlformats.org/officeDocument/2006/relationships/hyperlink" Target="https://gendertoolkit.bii.co.uk/wp-content/uploads/2020/11/Gender-smart-Investing-Guide-for-Fund-Managers.pdf" TargetMode="External"/><Relationship Id="rId145" Type="http://schemas.openxmlformats.org/officeDocument/2006/relationships/hyperlink" Target="https://www.oecd.org/en/publications/performance-related-pay-policies-for-government-employees_9789264007550-en.html" TargetMode="External"/><Relationship Id="rId166" Type="http://schemas.openxmlformats.org/officeDocument/2006/relationships/hyperlink" Target="https://www.unicef.org/eap/media/14076/file/UNICEF%20%20UN%20Women%20advocacy%20brochure.pdf" TargetMode="External"/><Relationship Id="rId187" Type="http://schemas.openxmlformats.org/officeDocument/2006/relationships/hyperlink" Target="https://www.weps.org/sites/default/files/2022-12/WEPs%20BROCHURE%20%28december%202022%29_0.pdf" TargetMode="External"/><Relationship Id="rId1" Type="http://schemas.openxmlformats.org/officeDocument/2006/relationships/hyperlink" Target="https://www.weps.org/sites/default/files/2022-12/WEPs%20BROCHURE%20%28december%202022%29_0.pdf" TargetMode="External"/><Relationship Id="rId28" Type="http://schemas.openxmlformats.org/officeDocument/2006/relationships/hyperlink" Target="https://www.ilo.org/sites/default/files/wcmsp5/groups/public/%40dgreports/%40dcomm/%40publ/documents/publication/wcms_216695.pdf" TargetMode="External"/><Relationship Id="rId49" Type="http://schemas.openxmlformats.org/officeDocument/2006/relationships/hyperlink" Target="https://www.womensworldbanking.org/wp-content/uploads/2024/10/The-Gender-Performance-Checklist.pdf" TargetMode="External"/><Relationship Id="rId114" Type="http://schemas.openxmlformats.org/officeDocument/2006/relationships/hyperlink" Target="https://digitalforwomen.worldbank.org/main-vertical-constraints" TargetMode="External"/><Relationship Id="rId60" Type="http://schemas.openxmlformats.org/officeDocument/2006/relationships/hyperlink" Target="https://www.weps.org/sites/default/files/2022-12/WEPs%20BROCHURE%20%28december%202022%29_0.pdf" TargetMode="External"/><Relationship Id="rId81" Type="http://schemas.openxmlformats.org/officeDocument/2006/relationships/hyperlink" Target="https://www.weps.org/sites/default/files/2021-09/WEPs%20GUIDANCE%20%20Sexual%20Harassment%20EN.pdf" TargetMode="External"/><Relationship Id="rId135" Type="http://schemas.openxmlformats.org/officeDocument/2006/relationships/hyperlink" Target="https://gendertoolkit.bii.co.uk/wp-content/uploads/2020/11/Gender-smart-Investing-Guide-for-Fund-Managers.pdf" TargetMode="External"/><Relationship Id="rId156" Type="http://schemas.openxmlformats.org/officeDocument/2006/relationships/hyperlink" Target="https://www.oecd.org/en/topics/sub-issues/child-and-family-well-being.html" TargetMode="External"/><Relationship Id="rId177" Type="http://schemas.openxmlformats.org/officeDocument/2006/relationships/hyperlink" Target="https://www.weps.org/sites/default/files/2021-09/WEPs%20GUIDANCE%20%20Sexual%20Harassment%20EN.pdf" TargetMode="External"/><Relationship Id="rId198" Type="http://schemas.openxmlformats.org/officeDocument/2006/relationships/printerSettings" Target="../printerSettings/printerSettings7.bin"/><Relationship Id="rId18" Type="http://schemas.openxmlformats.org/officeDocument/2006/relationships/hyperlink" Target="https://static1.squarespace.com/static/5b180402c3c16a6fe0001e45/t/65e72c44689786427b5b0889/1709648967612/2X+Criteria+Reference+Guide_February+2024.pdf" TargetMode="External"/><Relationship Id="rId39" Type="http://schemas.openxmlformats.org/officeDocument/2006/relationships/hyperlink" Target="https://www3.weforum.org/docs/WEF_GGGR_2024.pdf" TargetMode="External"/><Relationship Id="rId50" Type="http://schemas.openxmlformats.org/officeDocument/2006/relationships/hyperlink" Target="https://static1.squarespace.com/static/5b180402c3c16a6fe0001e45/t/65e72c44689786427b5b0889/1709648967612/2X+Criteria+Reference+Guide_February+2024.pdf" TargetMode="External"/><Relationship Id="rId104" Type="http://schemas.openxmlformats.org/officeDocument/2006/relationships/hyperlink" Target="https://www.womensworldbanking.org/wp-content/uploads/2023/06/2023-Revolutionizing-Product-Design-Report.pdf" TargetMode="External"/><Relationship Id="rId125" Type="http://schemas.openxmlformats.org/officeDocument/2006/relationships/hyperlink" Target="https://poverty-action.org/sites/default/files/2024-10/Women%E2%80%99s%20Economic%20Activity_10.9.24.pdf" TargetMode="External"/><Relationship Id="rId146" Type="http://schemas.openxmlformats.org/officeDocument/2006/relationships/hyperlink" Target="https://www.oecd.org/content/dam/oecd/en/publications/reports/2021/11/pay-transparency-tools-to-close-the-gender-wage-gap_38af4a31/eba5b91d-en.pdf" TargetMode="External"/><Relationship Id="rId167" Type="http://schemas.openxmlformats.org/officeDocument/2006/relationships/hyperlink" Target="https://wmo.int/content/keynote-address-international-gender-champions-climate-impact-group-launch" TargetMode="External"/><Relationship Id="rId188" Type="http://schemas.openxmlformats.org/officeDocument/2006/relationships/hyperlink" Target="https://ftsewomenleaders.com/wp-content/uploads/2025/03/ftse-report-master-2025-online-v3.pdf" TargetMode="External"/><Relationship Id="rId71" Type="http://schemas.openxmlformats.org/officeDocument/2006/relationships/hyperlink" Target="https://www.weps.org/sites/default/files/2022-12/WEPs%20BROCHURE%20%28december%202022%29_0.pdf" TargetMode="External"/><Relationship Id="rId92" Type="http://schemas.openxmlformats.org/officeDocument/2006/relationships/hyperlink" Target="https://www.akinamamawaafrika.org/wp-content/uploads/2020/02/Gender-Audit-Tool_FINAL_.pdf"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6" Type="http://schemas.openxmlformats.org/officeDocument/2006/relationships/hyperlink" Target="https://static1.squarespace.com/static/5b180402c3c16a6fe0001e45/t/65e72c44689786427b5b0889/1709648967612/2X+Criteria+Reference+Guide_February+2024.pdf" TargetMode="External"/><Relationship Id="rId21" Type="http://schemas.openxmlformats.org/officeDocument/2006/relationships/hyperlink" Target="https://gendertoolkit.bii.co.uk/wp-content/uploads/2020/11/Gender-smart-Investing-Guide-for-Fund-Managers.pdf" TargetMode="External"/><Relationship Id="rId42" Type="http://schemas.openxmlformats.org/officeDocument/2006/relationships/hyperlink" Target="https://www.bcg.com/publications/2017/human-resources-people-organization-why-paid-family-leave-is-good-business" TargetMode="External"/><Relationship Id="rId47" Type="http://schemas.openxmlformats.org/officeDocument/2006/relationships/hyperlink" Target="https://www3.weforum.org/docs/WEF_GGGR_2024.pdf" TargetMode="External"/><Relationship Id="rId63" Type="http://schemas.openxmlformats.org/officeDocument/2006/relationships/hyperlink" Target="https://www.google.com/url?sa=t&amp;source=web&amp;rct=j&amp;opi=89978449&amp;url=https://publications.iadb.org/publications/english/document/Financing-Programs-for-Womens-Financial-Inclusion-and-Access-to-Finance-for-Women-MSMEs--Results-from-a-Survey-of-Public-Development-Banks.pdf&amp;ved=2ahUKEwj5lbrpmb2MAxUEhIkEHZNnEnIQFnoECDMQAQ&amp;usg=AOvVaw3FU0pHaEOG43Qgv24ifJ1Z" TargetMode="External"/><Relationship Id="rId68" Type="http://schemas.openxmlformats.org/officeDocument/2006/relationships/hyperlink" Target="https://www.cgap.org/sites/default/files/publications/Tech%20Guide_Gender%20Intentional%20Credit%20Scoring%202024%20%281%29.pdf" TargetMode="External"/><Relationship Id="rId2" Type="http://schemas.openxmlformats.org/officeDocument/2006/relationships/hyperlink" Target="https://static1.squarespace.com/static/5b180402c3c16a6fe0001e45/t/65e72c44689786427b5b0889/1709648967612/2X+Criteria+Reference+Guide_February+2024.pdf" TargetMode="External"/><Relationship Id="rId16" Type="http://schemas.openxmlformats.org/officeDocument/2006/relationships/hyperlink" Target="https://www.weps.org/resource/mentoring-workplace" TargetMode="External"/><Relationship Id="rId29" Type="http://schemas.openxmlformats.org/officeDocument/2006/relationships/hyperlink" Target="https://www.weps.org/sites/default/files/2022-12/WEPs%20BROCHURE%20%28december%202022%29_0.pdf" TargetMode="External"/><Relationship Id="rId11" Type="http://schemas.openxmlformats.org/officeDocument/2006/relationships/hyperlink" Target="https://www.mckinsey.com/featured-insights/diversity-and-inclusion/diversity-matters-even-more-the-case-for-holistic-impact" TargetMode="External"/><Relationship Id="rId24" Type="http://schemas.openxmlformats.org/officeDocument/2006/relationships/hyperlink" Target="https://iwforum.org/initiatives/development/fellows/" TargetMode="External"/><Relationship Id="rId32" Type="http://schemas.openxmlformats.org/officeDocument/2006/relationships/hyperlink" Target="https://www.ilo.org/sites/default/files/wcmsp5/groups/public/%40dgreports/%40dcomm/%40publ/documents/publication/wcms_216695.pdf" TargetMode="External"/><Relationship Id="rId37" Type="http://schemas.openxmlformats.org/officeDocument/2006/relationships/hyperlink" Target="https://www.weps.org/sites/default/files/2022-12/WEPs%20BROCHURE%20%28december%202022%29_0.pdf" TargetMode="External"/><Relationship Id="rId40" Type="http://schemas.openxmlformats.org/officeDocument/2006/relationships/hyperlink" Target="https://webapps.ilo.org/infostories/en-GB/Stories/Employment/barriers-women" TargetMode="External"/><Relationship Id="rId45" Type="http://schemas.openxmlformats.org/officeDocument/2006/relationships/hyperlink" Target="https://www.weps.org/sites/default/files/2022-12/WEPs%20BROCHURE%20%28december%202022%29_0.pdf" TargetMode="External"/><Relationship Id="rId53" Type="http://schemas.openxmlformats.org/officeDocument/2006/relationships/hyperlink" Target="https://www.2xchallenge.org/2xcriteria" TargetMode="External"/><Relationship Id="rId58" Type="http://schemas.openxmlformats.org/officeDocument/2006/relationships/hyperlink" Target="https://www.2xchallenge.org/2xcriteria" TargetMode="External"/><Relationship Id="rId66" Type="http://schemas.openxmlformats.org/officeDocument/2006/relationships/hyperlink" Target="https://www.cgap.org/sites/default/files/publications/Tech%20Guide_Gender%20Intentional%20Credit%20Scoring%202024%20%281%29.pdf" TargetMode="External"/><Relationship Id="rId74" Type="http://schemas.openxmlformats.org/officeDocument/2006/relationships/vmlDrawing" Target="../drawings/vmlDrawing3.vml"/><Relationship Id="rId5" Type="http://schemas.openxmlformats.org/officeDocument/2006/relationships/hyperlink" Target="https://www.weps.org/sites/default/files/2022-12/WEPs%20BROCHURE%20%28december%202022%29_0.pdf" TargetMode="External"/><Relationship Id="rId61" Type="http://schemas.openxmlformats.org/officeDocument/2006/relationships/hyperlink" Target="https://www.2xchallenge.org/2xcriteria" TargetMode="External"/><Relationship Id="rId19" Type="http://schemas.openxmlformats.org/officeDocument/2006/relationships/hyperlink" Target="https://www.mckinsey.com/featured-insights/diversity-and-inclusion/diversity-matters-even-more-the-case-for-holistic-impact" TargetMode="External"/><Relationship Id="rId14" Type="http://schemas.openxmlformats.org/officeDocument/2006/relationships/hyperlink" Target="https://30percentclub.org/" TargetMode="External"/><Relationship Id="rId22" Type="http://schemas.openxmlformats.org/officeDocument/2006/relationships/hyperlink" Target="https://static1.squarespace.com/static/5b180402c3c16a6fe0001e45/t/65e72c44689786427b5b0889/1709648967612/2X+Criteria+Reference+Guide_February+2024.pdf" TargetMode="External"/><Relationship Id="rId27" Type="http://schemas.openxmlformats.org/officeDocument/2006/relationships/hyperlink" Target="https://www3.weforum.org/docs/WEF_GGGR_2024.pdf" TargetMode="External"/><Relationship Id="rId30" Type="http://schemas.openxmlformats.org/officeDocument/2006/relationships/hyperlink" Target="https://normlex.ilo.org/dyn/nrmlx_en/f?p=NORMLEXPUB:12100:0::NO::P12100_Ilo_Code:C100" TargetMode="External"/><Relationship Id="rId35" Type="http://schemas.openxmlformats.org/officeDocument/2006/relationships/hyperlink" Target="https://gendertoolkit.bii.co.uk/wp-content/uploads/2020/11/Gender-smart-Investing-Guide-for-Fund-Managers.pdf" TargetMode="External"/><Relationship Id="rId43" Type="http://schemas.openxmlformats.org/officeDocument/2006/relationships/hyperlink" Target="https://www3.weforum.org/docs/WEF_GGGR_2024.pdf" TargetMode="External"/><Relationship Id="rId48" Type="http://schemas.openxmlformats.org/officeDocument/2006/relationships/hyperlink" Target="https://www.ilo.org/sites/default/files/wcmsp5/groups/public/%40ed_norm/%40declaration/documents/publication/wcms_536630.pdf" TargetMode="External"/><Relationship Id="rId56" Type="http://schemas.openxmlformats.org/officeDocument/2006/relationships/hyperlink" Target="https://www.cgap.org/sites/default/files/publications/Tech%20Guide_Gender%20Intentional%20Credit%20Scoring%202024%20%281%29.pdf" TargetMode="External"/><Relationship Id="rId64" Type="http://schemas.openxmlformats.org/officeDocument/2006/relationships/hyperlink" Target="https://www.womensworldbanking.org/wp-content/uploads/2023/06/2023-Revolutionizing-Product-Design-Report.pdf" TargetMode="External"/><Relationship Id="rId69" Type="http://schemas.openxmlformats.org/officeDocument/2006/relationships/hyperlink" Target="https://www.cgap.org/sites/default/files/publications/Tech%20Guide_Gender%20Intentional%20Credit%20Scoring%202024%20%281%29.pdf" TargetMode="External"/><Relationship Id="rId8" Type="http://schemas.openxmlformats.org/officeDocument/2006/relationships/hyperlink" Target="https://www.mckinsey.com/~/media/mckinsey/featured%20insights/diversity%20and%20inclusion/women%20in%20the%20workplace%202022/women-in-the-workplace-2022.pdf" TargetMode="External"/><Relationship Id="rId51" Type="http://schemas.openxmlformats.org/officeDocument/2006/relationships/hyperlink" Target="https://www.weps.org/sites/default/files/2025-01/White%20paper%2017%20Jan%202025%20FINAL.pdf" TargetMode="External"/><Relationship Id="rId72" Type="http://schemas.openxmlformats.org/officeDocument/2006/relationships/hyperlink" Target="https://www.cgap.org/sites/default/files/publications/Tech%20Guide_Gender%20Intentional%20Credit%20Scoring%202024%20%281%29.pdf" TargetMode="External"/><Relationship Id="rId3" Type="http://schemas.openxmlformats.org/officeDocument/2006/relationships/hyperlink" Target="https://www3.weforum.org/docs/WEF_GGGR_2024.pdf" TargetMode="External"/><Relationship Id="rId12" Type="http://schemas.openxmlformats.org/officeDocument/2006/relationships/hyperlink" Target="https://www.oecd.org/content/dam/oecd/en/publications/reports/2022/09/enhancing-gender-diversity-on-boards-and-in-senior-management-of-listed-companies_50213bfe/4f7ca695-en.pdf" TargetMode="External"/><Relationship Id="rId17" Type="http://schemas.openxmlformats.org/officeDocument/2006/relationships/hyperlink" Target="https://gendertoolkit.bii.co.uk/wp-content/uploads/2020/11/Gender-smart-Investing-Guide-for-Fund-Managers.pdf" TargetMode="External"/><Relationship Id="rId25" Type="http://schemas.openxmlformats.org/officeDocument/2006/relationships/hyperlink" Target="https://gendertoolkit.bii.co.uk/wp-content/uploads/2020/11/Gender-smart-Investing-Guide-for-Fund-Managers.pdf" TargetMode="External"/><Relationship Id="rId33" Type="http://schemas.openxmlformats.org/officeDocument/2006/relationships/hyperlink" Target="https://www.weps.org/sites/default/files/2022-12/WEPs%20BROCHURE%20%28december%202022%29_0.pdf" TargetMode="External"/><Relationship Id="rId38" Type="http://schemas.openxmlformats.org/officeDocument/2006/relationships/hyperlink" Target="https://www.weps.org/sites/default/files/2022-12/WEPs%20BROCHURE%20%28december%202022%29_0.pdf" TargetMode="External"/><Relationship Id="rId46" Type="http://schemas.openxmlformats.org/officeDocument/2006/relationships/hyperlink" Target="https://www.bcg.com/publications/2017/human-resources-people-organization-why-paid-family-leave-is-good-business" TargetMode="External"/><Relationship Id="rId59" Type="http://schemas.openxmlformats.org/officeDocument/2006/relationships/hyperlink" Target="https://www.womensworldbanking.org/insights/womens-world-bankings-2021-impact-report/" TargetMode="External"/><Relationship Id="rId67" Type="http://schemas.openxmlformats.org/officeDocument/2006/relationships/hyperlink" Target="https://www.cgap.org/sites/default/files/publications/Tech%20Guide_Gender%20Intentional%20Credit%20Scoring%202024%20%281%29.pdf" TargetMode="External"/><Relationship Id="rId20" Type="http://schemas.openxmlformats.org/officeDocument/2006/relationships/hyperlink" Target="https://www.weps.org/resource/mentoring-workplace" TargetMode="External"/><Relationship Id="rId41" Type="http://schemas.openxmlformats.org/officeDocument/2006/relationships/hyperlink" Target="https://www.weps.org/sites/default/files/2022-12/WEPs%20BROCHURE%20%28december%202022%29_0.pdf" TargetMode="External"/><Relationship Id="rId54" Type="http://schemas.openxmlformats.org/officeDocument/2006/relationships/hyperlink" Target="https://www.2xchallenge.org/2xcriteria" TargetMode="External"/><Relationship Id="rId62" Type="http://schemas.openxmlformats.org/officeDocument/2006/relationships/hyperlink" Target="https://www.2xchallenge.org/2xcriteria" TargetMode="External"/><Relationship Id="rId70" Type="http://schemas.openxmlformats.org/officeDocument/2006/relationships/hyperlink" Target="https://www.cgap.org/sites/default/files/publications/Tech%20Guide_Gender%20Intentional%20Credit%20Scoring%202024%20%281%29.pdf" TargetMode="External"/><Relationship Id="rId75" Type="http://schemas.openxmlformats.org/officeDocument/2006/relationships/comments" Target="../comments3.xml"/><Relationship Id="rId1" Type="http://schemas.openxmlformats.org/officeDocument/2006/relationships/hyperlink" Target="https://www.weps.org/sites/default/files/2022-12/WEPs%20BROCHURE%20%28december%202022%29_0.pdf" TargetMode="External"/><Relationship Id="rId6" Type="http://schemas.openxmlformats.org/officeDocument/2006/relationships/hyperlink" Target="https://static1.squarespace.com/static/5b180402c3c16a6fe0001e45/t/65e72c44689786427b5b0889/1709648967612/2X+Criteria+Reference+Guide_February+2024.pdf" TargetMode="External"/><Relationship Id="rId15" Type="http://schemas.openxmlformats.org/officeDocument/2006/relationships/hyperlink" Target="https://www.mckinsey.com/featured-insights/diversity-and-inclusion/diversity-matters-even-more-the-case-for-holistic-impact" TargetMode="External"/><Relationship Id="rId23" Type="http://schemas.openxmlformats.org/officeDocument/2006/relationships/hyperlink" Target="https://www.mckinsey.com/featured-insights/diversity-and-inclusion/diversity-matters-even-more-the-case-for-holistic-impact" TargetMode="External"/><Relationship Id="rId28" Type="http://schemas.openxmlformats.org/officeDocument/2006/relationships/hyperlink" Target="https://www.ifc.org/content/dam/ifc/doc/2025/closing-the-gender-gap-in-education-and-employment.pdf" TargetMode="External"/><Relationship Id="rId36" Type="http://schemas.openxmlformats.org/officeDocument/2006/relationships/hyperlink" Target="https://documents1.worldbank.org/curated/en/099514004022438837/pdf/IDU1d3fb23bf1a94c143ec1bb501f87c9a5983ca.pdf" TargetMode="External"/><Relationship Id="rId49" Type="http://schemas.openxmlformats.org/officeDocument/2006/relationships/hyperlink" Target="https://www.weps.org/sites/default/files/2022-12/WEPs%20BROCHURE%20%28december%202022%29_0.pdf" TargetMode="External"/><Relationship Id="rId57" Type="http://schemas.openxmlformats.org/officeDocument/2006/relationships/hyperlink" Target="https://www.2xchallenge.org/2xcriteria" TargetMode="External"/><Relationship Id="rId10" Type="http://schemas.openxmlformats.org/officeDocument/2006/relationships/hyperlink" Target="https://30percentclub.org/" TargetMode="External"/><Relationship Id="rId31" Type="http://schemas.openxmlformats.org/officeDocument/2006/relationships/hyperlink" Target="https://www.aauw.org/app/uploads/2020/02/AAUW-2018-SimpleTruth-nsa.pdf" TargetMode="External"/><Relationship Id="rId44" Type="http://schemas.openxmlformats.org/officeDocument/2006/relationships/hyperlink" Target="https://www.ilo.org/sites/default/files/wcmsp5/groups/public/%40ed_norm/%40declaration/documents/publication/wcms_536630.pdf" TargetMode="External"/><Relationship Id="rId52" Type="http://schemas.openxmlformats.org/officeDocument/2006/relationships/hyperlink" Target="https://mneguidelines.oecd.org/mneguidelines/Responsible-Business-Conduct-and-Gender.pdf" TargetMode="External"/><Relationship Id="rId60" Type="http://schemas.openxmlformats.org/officeDocument/2006/relationships/hyperlink" Target="https://www.cgap.org/sites/default/files/publications/Tech%20Guide_Gender%20Intentional%20Credit%20Scoring%202024%20%281%29.pdf" TargetMode="External"/><Relationship Id="rId65" Type="http://schemas.openxmlformats.org/officeDocument/2006/relationships/hyperlink" Target="https://www.cgap.org/sites/default/files/publications/Tech%20Guide_Gender%20Intentional%20Credit%20Scoring%202024%20%281%29.pdf" TargetMode="External"/><Relationship Id="rId73" Type="http://schemas.openxmlformats.org/officeDocument/2006/relationships/drawing" Target="../drawings/drawing4.xml"/><Relationship Id="rId4" Type="http://schemas.openxmlformats.org/officeDocument/2006/relationships/hyperlink" Target="https://www.womensworldbanking.org/wp-content/uploads/2024/10/The-Gender-Performance-Checklist.pdf" TargetMode="External"/><Relationship Id="rId9" Type="http://schemas.openxmlformats.org/officeDocument/2006/relationships/hyperlink" Target="https://www.weps.org/sites/default/files/2022-12/WEPs%20BROCHURE%20%28december%202022%29_0.pdf" TargetMode="External"/><Relationship Id="rId13" Type="http://schemas.openxmlformats.org/officeDocument/2006/relationships/hyperlink" Target="https://www.weps.org/sites/default/files/2022-12/WEPs%20BROCHURE%20%28december%202022%29_0.pdf" TargetMode="External"/><Relationship Id="rId18" Type="http://schemas.openxmlformats.org/officeDocument/2006/relationships/hyperlink" Target="https://static1.squarespace.com/static/5b180402c3c16a6fe0001e45/t/65e72c44689786427b5b0889/1709648967612/2X+Criteria+Reference+Guide_February+2024.pdf" TargetMode="External"/><Relationship Id="rId39" Type="http://schemas.openxmlformats.org/officeDocument/2006/relationships/hyperlink" Target="https://www.mckinsey.com/featured-insights/diversity-and-inclusion/diversity-matters-even-more-the-case-for-holistic-impact" TargetMode="External"/><Relationship Id="rId34" Type="http://schemas.openxmlformats.org/officeDocument/2006/relationships/hyperlink" Target="https://www.weps.org/sites/default/files/2022-12/WEPs%20BROCHURE%20%28december%202022%29_0.pdf" TargetMode="External"/><Relationship Id="rId50" Type="http://schemas.openxmlformats.org/officeDocument/2006/relationships/hyperlink" Target="https://www.weps.org/sites/default/files/2022-12/WEPs%20BROCHURE%20%28december%202022%29_0.pdf" TargetMode="External"/><Relationship Id="rId55" Type="http://schemas.openxmlformats.org/officeDocument/2006/relationships/hyperlink" Target="https://www.eib.org/en/stories/investing-gender-lens" TargetMode="External"/><Relationship Id="rId7" Type="http://schemas.openxmlformats.org/officeDocument/2006/relationships/hyperlink" Target="https://www.mckinsey.com/featured-insights/diversity-and-inclusion/diversity-matters-even-more-the-case-for-holistic-impact" TargetMode="External"/><Relationship Id="rId71" Type="http://schemas.openxmlformats.org/officeDocument/2006/relationships/hyperlink" Target="https://www.cgap.org/sites/default/files/publications/Tech%20Guide_Gender%20Intentional%20Credit%20Scoring%202024%20%281%29.pdf"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www.mckinsey.com/featured-insights/diversity-and-inclusion/diversity-matters-even-more-the-case-for-holistic-impact" TargetMode="External"/><Relationship Id="rId3" Type="http://schemas.openxmlformats.org/officeDocument/2006/relationships/hyperlink" Target="https://www.weps.org/sites/default/files/2022-12/WEPs%20BROCHURE%20%28december%202022%29_0.pdf" TargetMode="External"/><Relationship Id="rId7" Type="http://schemas.openxmlformats.org/officeDocument/2006/relationships/hyperlink" Target="https://www.weps.org/sites/default/files/2022-12/WEPs%20BROCHURE%20%28december%202022%29_0.pdf" TargetMode="External"/><Relationship Id="rId2" Type="http://schemas.openxmlformats.org/officeDocument/2006/relationships/hyperlink" Target="https://www3.weforum.org/docs/WEF_GGGR_2024.pdf" TargetMode="External"/><Relationship Id="rId1" Type="http://schemas.openxmlformats.org/officeDocument/2006/relationships/hyperlink" Target="https://www.weps.org/sites/default/files/2022-12/WEPs%20BROCHURE%20%28december%202022%29_0.pdf" TargetMode="External"/><Relationship Id="rId6" Type="http://schemas.openxmlformats.org/officeDocument/2006/relationships/hyperlink" Target="https://www.mckinsey.com/featured-insights/diversity-and-inclusion/diversity-matters-even-more-the-case-for-holistic-impact" TargetMode="External"/><Relationship Id="rId5" Type="http://schemas.openxmlformats.org/officeDocument/2006/relationships/hyperlink" Target="https://www.weps.org/sites/default/files/2022-12/WEPs%20BROCHURE%20%28december%202022%29_0.pdf" TargetMode="External"/><Relationship Id="rId4" Type="http://schemas.openxmlformats.org/officeDocument/2006/relationships/hyperlink" Target="https://www.mckinsey.com/featured-insights/diversity-and-inclusion/diversity-matters-even-more-the-case-for-holistic-impact" TargetMode="External"/><Relationship Id="rId9" Type="http://schemas.openxmlformats.org/officeDocument/2006/relationships/hyperlink" Target="https://www.weps.org/sites/default/files/2022-12/WEPs%20BROCHURE%20%28december%202022%29_0.pdf" TargetMode="Externa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ivotTable" Target="../pivotTables/pivotTable1.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74CBD-EEA6-4E98-AC9C-9D89111B4831}">
  <sheetPr>
    <tabColor theme="0" tint="-0.34998626667073579"/>
  </sheetPr>
  <dimension ref="A1:D15"/>
  <sheetViews>
    <sheetView showGridLines="0" tabSelected="1" zoomScaleNormal="100" zoomScaleSheetLayoutView="186" workbookViewId="0"/>
  </sheetViews>
  <sheetFormatPr baseColWidth="10" defaultColWidth="8.83203125" defaultRowHeight="13"/>
  <cols>
    <col min="1" max="1" width="16.5" customWidth="1"/>
    <col min="2" max="2" width="13.5" customWidth="1"/>
    <col min="3" max="3" width="26.5" customWidth="1"/>
    <col min="4" max="4" width="60.5" customWidth="1"/>
  </cols>
  <sheetData>
    <row r="1" spans="1:4" ht="30" customHeight="1">
      <c r="A1" s="246" t="e" vm="1">
        <v>#VALUE!</v>
      </c>
    </row>
    <row r="2" spans="1:4" ht="20">
      <c r="A2" s="370" t="s">
        <v>0</v>
      </c>
      <c r="B2" s="371"/>
      <c r="C2" s="371"/>
      <c r="D2" s="371"/>
    </row>
    <row r="3" spans="1:4" ht="14">
      <c r="A3" s="115"/>
      <c r="B3" s="116"/>
    </row>
    <row r="4" spans="1:4" ht="14" customHeight="1">
      <c r="A4" s="372" t="s">
        <v>1</v>
      </c>
      <c r="B4" s="373"/>
      <c r="C4" s="373"/>
      <c r="D4" s="373"/>
    </row>
    <row r="5" spans="1:4" ht="14" customHeight="1"/>
    <row r="6" spans="1:4" ht="14">
      <c r="A6" s="239" t="s">
        <v>2</v>
      </c>
      <c r="B6" s="239" t="s">
        <v>3</v>
      </c>
      <c r="C6" s="239" t="s">
        <v>4</v>
      </c>
      <c r="D6" s="239" t="s">
        <v>5</v>
      </c>
    </row>
    <row r="7" spans="1:4" ht="14">
      <c r="A7" s="240" t="s">
        <v>6</v>
      </c>
      <c r="B7" s="242">
        <v>1</v>
      </c>
      <c r="C7" s="241" t="s">
        <v>7</v>
      </c>
      <c r="D7" s="241" t="s">
        <v>8</v>
      </c>
    </row>
    <row r="8" spans="1:4" ht="26" customHeight="1">
      <c r="A8" s="374" t="s">
        <v>9</v>
      </c>
      <c r="B8" s="242" t="s">
        <v>10</v>
      </c>
      <c r="C8" s="241" t="s">
        <v>11</v>
      </c>
      <c r="D8" s="241" t="s">
        <v>12</v>
      </c>
    </row>
    <row r="9" spans="1:4" ht="14">
      <c r="A9" s="375"/>
      <c r="B9" s="242" t="s">
        <v>13</v>
      </c>
      <c r="C9" s="241" t="s">
        <v>14</v>
      </c>
      <c r="D9" s="241" t="s">
        <v>15</v>
      </c>
    </row>
    <row r="10" spans="1:4" ht="26" customHeight="1">
      <c r="A10" s="374" t="s">
        <v>16</v>
      </c>
      <c r="B10" s="242">
        <v>4</v>
      </c>
      <c r="C10" s="241" t="s">
        <v>17</v>
      </c>
      <c r="D10" s="241" t="s">
        <v>18</v>
      </c>
    </row>
    <row r="11" spans="1:4" ht="14">
      <c r="A11" s="376"/>
      <c r="B11" s="242">
        <v>5</v>
      </c>
      <c r="C11" s="241" t="s">
        <v>19</v>
      </c>
      <c r="D11" s="241" t="s">
        <v>20</v>
      </c>
    </row>
    <row r="12" spans="1:4" ht="14">
      <c r="A12" s="376"/>
      <c r="B12" s="242">
        <v>6</v>
      </c>
      <c r="C12" s="241" t="s">
        <v>21</v>
      </c>
      <c r="D12" s="241" t="s">
        <v>22</v>
      </c>
    </row>
    <row r="13" spans="1:4" ht="23.5" customHeight="1">
      <c r="A13" s="376"/>
      <c r="B13" s="242">
        <v>7</v>
      </c>
      <c r="C13" s="241" t="s">
        <v>23</v>
      </c>
      <c r="D13" s="241" t="s">
        <v>24</v>
      </c>
    </row>
    <row r="14" spans="1:4" ht="14">
      <c r="A14" s="376"/>
      <c r="B14" s="242">
        <v>8</v>
      </c>
      <c r="C14" s="241" t="s">
        <v>25</v>
      </c>
      <c r="D14" s="241" t="s">
        <v>26</v>
      </c>
    </row>
    <row r="15" spans="1:4" ht="14">
      <c r="A15" s="375"/>
      <c r="B15" s="242">
        <v>9</v>
      </c>
      <c r="C15" s="241" t="s">
        <v>27</v>
      </c>
      <c r="D15" s="241" t="s">
        <v>26</v>
      </c>
    </row>
  </sheetData>
  <mergeCells count="4">
    <mergeCell ref="A2:D2"/>
    <mergeCell ref="A4:D4"/>
    <mergeCell ref="A8:A9"/>
    <mergeCell ref="A10:A15"/>
  </mergeCells>
  <pageMargins left="0.7" right="0.7" top="0.75" bottom="0.75" header="0.3" footer="0.3"/>
  <pageSetup paperSize="9" scale="70"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5E1C2-657C-4F17-B0A2-9FD6C1B414BD}">
  <sheetPr>
    <tabColor theme="0" tint="-0.499984740745262"/>
  </sheetPr>
  <dimension ref="A1:B52"/>
  <sheetViews>
    <sheetView showGridLines="0" view="pageBreakPreview" zoomScale="108" zoomScaleNormal="77" zoomScaleSheetLayoutView="108" workbookViewId="0">
      <selection sqref="A1:B1"/>
    </sheetView>
  </sheetViews>
  <sheetFormatPr baseColWidth="10" defaultColWidth="8.83203125" defaultRowHeight="13"/>
  <cols>
    <col min="2" max="2" width="121.5" customWidth="1"/>
  </cols>
  <sheetData>
    <row r="1" spans="1:2" ht="30" customHeight="1">
      <c r="A1" s="385" t="e" vm="1">
        <v>#VALUE!</v>
      </c>
      <c r="B1" s="385"/>
    </row>
    <row r="2" spans="1:2" ht="20">
      <c r="A2" s="113" t="s">
        <v>0</v>
      </c>
      <c r="B2" s="114"/>
    </row>
    <row r="3" spans="1:2" ht="14">
      <c r="A3" s="115"/>
      <c r="B3" s="116"/>
    </row>
    <row r="4" spans="1:2" ht="49" customHeight="1">
      <c r="A4" s="383" t="s">
        <v>1</v>
      </c>
      <c r="B4" s="384"/>
    </row>
    <row r="5" spans="1:2" ht="14">
      <c r="A5" s="115"/>
      <c r="B5" s="116"/>
    </row>
    <row r="6" spans="1:2" ht="16">
      <c r="A6" s="377" t="s">
        <v>28</v>
      </c>
      <c r="B6" s="378"/>
    </row>
    <row r="7" spans="1:2" ht="14">
      <c r="A7" s="117">
        <v>1</v>
      </c>
      <c r="B7" s="118" t="s">
        <v>29</v>
      </c>
    </row>
    <row r="8" spans="1:2" ht="14">
      <c r="A8" s="119"/>
      <c r="B8" s="120" t="s">
        <v>30</v>
      </c>
    </row>
    <row r="9" spans="1:2" ht="14">
      <c r="A9" s="119"/>
      <c r="B9" s="121" t="s">
        <v>31</v>
      </c>
    </row>
    <row r="10" spans="1:2" ht="14">
      <c r="A10" s="119"/>
      <c r="B10" s="121" t="s">
        <v>32</v>
      </c>
    </row>
    <row r="11" spans="1:2" ht="14">
      <c r="A11" s="122"/>
      <c r="B11" s="123" t="s">
        <v>33</v>
      </c>
    </row>
    <row r="12" spans="1:2" ht="14">
      <c r="A12" s="111"/>
      <c r="B12" s="112"/>
    </row>
    <row r="13" spans="1:2" ht="14">
      <c r="A13" s="124">
        <v>2</v>
      </c>
      <c r="B13" s="125" t="s">
        <v>34</v>
      </c>
    </row>
    <row r="14" spans="1:2">
      <c r="A14" s="126" t="s">
        <v>35</v>
      </c>
      <c r="B14" s="127" t="s">
        <v>36</v>
      </c>
    </row>
    <row r="15" spans="1:2" ht="14">
      <c r="A15" s="126"/>
      <c r="B15" s="128" t="s">
        <v>37</v>
      </c>
    </row>
    <row r="16" spans="1:2" ht="14">
      <c r="A16" s="129"/>
      <c r="B16" s="130" t="s">
        <v>38</v>
      </c>
    </row>
    <row r="18" spans="1:2" ht="14">
      <c r="A18" s="124">
        <v>3</v>
      </c>
      <c r="B18" s="125" t="s">
        <v>39</v>
      </c>
    </row>
    <row r="19" spans="1:2">
      <c r="A19" s="126" t="s">
        <v>35</v>
      </c>
      <c r="B19" s="127" t="s">
        <v>40</v>
      </c>
    </row>
    <row r="20" spans="1:2" ht="14">
      <c r="A20" s="126"/>
      <c r="B20" s="128" t="s">
        <v>41</v>
      </c>
    </row>
    <row r="21" spans="1:2" ht="14">
      <c r="A21" s="129"/>
      <c r="B21" s="130" t="s">
        <v>42</v>
      </c>
    </row>
    <row r="22" spans="1:2" ht="14">
      <c r="A22" s="131"/>
      <c r="B22" s="132"/>
    </row>
    <row r="23" spans="1:2" ht="16">
      <c r="A23" s="379" t="s">
        <v>43</v>
      </c>
      <c r="B23" s="380"/>
    </row>
    <row r="24" spans="1:2" ht="14">
      <c r="A24" s="117">
        <v>4</v>
      </c>
      <c r="B24" s="118" t="s">
        <v>44</v>
      </c>
    </row>
    <row r="25" spans="1:2" ht="14">
      <c r="A25" s="119"/>
      <c r="B25" s="120" t="s">
        <v>17</v>
      </c>
    </row>
    <row r="26" spans="1:2" ht="14">
      <c r="A26" s="119"/>
      <c r="B26" s="121" t="s">
        <v>45</v>
      </c>
    </row>
    <row r="27" spans="1:2" ht="14">
      <c r="A27" s="119"/>
      <c r="B27" s="121" t="s">
        <v>46</v>
      </c>
    </row>
    <row r="28" spans="1:2" ht="14">
      <c r="A28" s="119"/>
      <c r="B28" s="121" t="s">
        <v>47</v>
      </c>
    </row>
    <row r="29" spans="1:2" ht="14">
      <c r="A29" s="122"/>
      <c r="B29" s="123" t="s">
        <v>48</v>
      </c>
    </row>
    <row r="30" spans="1:2" ht="14">
      <c r="A30" s="131"/>
      <c r="B30" s="112"/>
    </row>
    <row r="31" spans="1:2" ht="14">
      <c r="A31" s="117">
        <v>5</v>
      </c>
      <c r="B31" s="118" t="s">
        <v>49</v>
      </c>
    </row>
    <row r="32" spans="1:2" ht="14">
      <c r="A32" s="119"/>
      <c r="B32" s="120" t="s">
        <v>19</v>
      </c>
    </row>
    <row r="33" spans="1:2" ht="14">
      <c r="A33" s="122"/>
      <c r="B33" s="123" t="s">
        <v>50</v>
      </c>
    </row>
    <row r="35" spans="1:2" ht="14">
      <c r="A35" s="117">
        <v>6</v>
      </c>
      <c r="B35" s="118" t="s">
        <v>51</v>
      </c>
    </row>
    <row r="36" spans="1:2" ht="14">
      <c r="A36" s="119"/>
      <c r="B36" s="120" t="s">
        <v>21</v>
      </c>
    </row>
    <row r="37" spans="1:2" ht="14">
      <c r="A37" s="119"/>
      <c r="B37" s="120" t="s">
        <v>52</v>
      </c>
    </row>
    <row r="38" spans="1:2" ht="14">
      <c r="A38" s="122"/>
      <c r="B38" s="123" t="s">
        <v>53</v>
      </c>
    </row>
    <row r="39" spans="1:2" ht="14">
      <c r="A39" s="131"/>
      <c r="B39" s="132"/>
    </row>
    <row r="40" spans="1:2" ht="16">
      <c r="A40" s="381" t="s">
        <v>54</v>
      </c>
      <c r="B40" s="382"/>
    </row>
    <row r="41" spans="1:2" ht="14">
      <c r="A41" s="133">
        <v>7</v>
      </c>
      <c r="B41" s="134" t="s">
        <v>55</v>
      </c>
    </row>
    <row r="42" spans="1:2" ht="15">
      <c r="A42" s="135"/>
      <c r="B42" s="136" t="s">
        <v>56</v>
      </c>
    </row>
    <row r="43" spans="1:2" ht="15">
      <c r="A43" s="135"/>
      <c r="B43" s="136" t="s">
        <v>57</v>
      </c>
    </row>
    <row r="44" spans="1:2" ht="15">
      <c r="A44" s="135"/>
      <c r="B44" s="136" t="s">
        <v>58</v>
      </c>
    </row>
    <row r="45" spans="1:2" ht="15">
      <c r="A45" s="137"/>
      <c r="B45" s="138" t="s">
        <v>59</v>
      </c>
    </row>
    <row r="46" spans="1:2" ht="14">
      <c r="A46" s="139"/>
      <c r="B46" s="140"/>
    </row>
    <row r="47" spans="1:2" ht="14">
      <c r="A47" s="124">
        <v>8</v>
      </c>
      <c r="B47" s="125" t="s">
        <v>60</v>
      </c>
    </row>
    <row r="48" spans="1:2" ht="15">
      <c r="A48" s="141" t="s">
        <v>35</v>
      </c>
      <c r="B48" s="142" t="s">
        <v>61</v>
      </c>
    </row>
    <row r="49" spans="1:2" ht="15">
      <c r="A49" s="143"/>
      <c r="B49" s="144" t="s">
        <v>62</v>
      </c>
    </row>
    <row r="51" spans="1:2" ht="14">
      <c r="A51" s="133">
        <v>9</v>
      </c>
      <c r="B51" s="134" t="s">
        <v>63</v>
      </c>
    </row>
    <row r="52" spans="1:2" ht="15">
      <c r="A52" s="145"/>
      <c r="B52" s="146" t="s">
        <v>64</v>
      </c>
    </row>
  </sheetData>
  <mergeCells count="5">
    <mergeCell ref="A6:B6"/>
    <mergeCell ref="A23:B23"/>
    <mergeCell ref="A40:B40"/>
    <mergeCell ref="A4:B4"/>
    <mergeCell ref="A1:B1"/>
  </mergeCells>
  <hyperlinks>
    <hyperlink ref="B14" location="'HR Database (optional)'!A1" display="HR Database (optional)" xr:uid="{E22CB7DA-15FC-4494-83F5-4C6AD3F71A53}"/>
    <hyperlink ref="B8" location="'Self-Assessment '!A1" display="'Self-Assessment '!A1" xr:uid="{B98136A2-5976-486D-BD2F-7A3EF5911D2E}"/>
    <hyperlink ref="B19" location="'Inputs (optional)'!A1" display="'Inputs (optional)'!A1" xr:uid="{B4062B8D-41C2-4E28-AE1D-23FA9D55A30B}"/>
    <hyperlink ref="B25" location="'Key Gender Metrics'!A1" display="Key Gender Metrics" xr:uid="{0A1F44AB-8378-4515-A436-7C26925125B1}"/>
    <hyperlink ref="B32" location="Guide!A1" display="Guide!A1" xr:uid="{AC4C5B88-C722-418F-A41A-BE11209FF009}"/>
    <hyperlink ref="B36" location="Dashboard!A1" display="Dashboard!A1" xr:uid="{7E959DC8-70ED-4868-8DA4-6331682679F1}"/>
    <hyperlink ref="B37" location="'Progress Tracker'!A1" display="'Progress Tracker'!A1" xr:uid="{8E95C5BF-A56F-4DDE-A6B3-5F555A34858C}"/>
  </hyperlinks>
  <pageMargins left="0.7" right="0.7" top="0.75" bottom="0.75" header="0.3" footer="0.3"/>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C8F5C-BFAB-4218-9ACB-D91A278270A6}">
  <sheetPr>
    <tabColor theme="6" tint="0.79998168889431442"/>
    <outlinePr summaryBelow="0" summaryRight="0"/>
    <pageSetUpPr fitToPage="1"/>
  </sheetPr>
  <dimension ref="A1:G18"/>
  <sheetViews>
    <sheetView showGridLines="0" view="pageBreakPreview" zoomScale="92" zoomScaleNormal="60" zoomScaleSheetLayoutView="92" workbookViewId="0"/>
  </sheetViews>
  <sheetFormatPr baseColWidth="10" defaultColWidth="12.5" defaultRowHeight="15.75" customHeight="1" outlineLevelRow="1"/>
  <cols>
    <col min="1" max="1" width="38.5" customWidth="1"/>
    <col min="2" max="2" width="25" customWidth="1"/>
    <col min="3" max="3" width="29.83203125" customWidth="1"/>
    <col min="4" max="4" width="26.5" customWidth="1"/>
    <col min="5" max="5" width="29.83203125" customWidth="1"/>
    <col min="6" max="6" width="18" customWidth="1"/>
    <col min="7" max="7" width="75.1640625" customWidth="1"/>
    <col min="8" max="8" width="9.83203125" customWidth="1"/>
  </cols>
  <sheetData>
    <row r="1" spans="1:7" ht="19" customHeight="1">
      <c r="A1" s="247" t="e" vm="1">
        <v>#VALUE!</v>
      </c>
      <c r="E1" s="359" t="str">
        <f>A9</f>
        <v>Total Score</v>
      </c>
      <c r="F1" s="389">
        <f>F9</f>
        <v>10</v>
      </c>
      <c r="G1" s="388"/>
    </row>
    <row r="2" spans="1:7" ht="23.5" customHeight="1">
      <c r="A2" s="247"/>
      <c r="E2" s="360" t="str">
        <f>A10</f>
        <v>Toolkit Adoption Category</v>
      </c>
      <c r="F2" s="388" t="str">
        <f>F10</f>
        <v>Gender-Responsive Implementer</v>
      </c>
      <c r="G2" s="388"/>
    </row>
    <row r="3" spans="1:7" ht="44.25" customHeight="1">
      <c r="A3" s="1" t="s">
        <v>65</v>
      </c>
      <c r="B3" s="1" t="s">
        <v>66</v>
      </c>
      <c r="C3" s="1" t="s">
        <v>67</v>
      </c>
      <c r="D3" s="1" t="s">
        <v>68</v>
      </c>
      <c r="E3" s="1" t="s">
        <v>69</v>
      </c>
      <c r="F3" s="1" t="s">
        <v>70</v>
      </c>
      <c r="G3" s="1" t="s">
        <v>71</v>
      </c>
    </row>
    <row r="4" spans="1:7" ht="52">
      <c r="A4" s="222" t="s">
        <v>72</v>
      </c>
      <c r="B4" s="223" t="s">
        <v>73</v>
      </c>
      <c r="C4" s="223" t="s">
        <v>74</v>
      </c>
      <c r="D4" s="223" t="s">
        <v>75</v>
      </c>
      <c r="E4" s="223" t="s">
        <v>76</v>
      </c>
      <c r="F4" s="224" t="s">
        <v>77</v>
      </c>
      <c r="G4" s="47"/>
    </row>
    <row r="5" spans="1:7" ht="78">
      <c r="A5" s="225" t="s">
        <v>78</v>
      </c>
      <c r="B5" s="226" t="s">
        <v>79</v>
      </c>
      <c r="C5" s="226" t="s">
        <v>80</v>
      </c>
      <c r="D5" s="226" t="s">
        <v>81</v>
      </c>
      <c r="E5" s="226" t="s">
        <v>82</v>
      </c>
      <c r="F5" s="224" t="s">
        <v>83</v>
      </c>
      <c r="G5" s="47"/>
    </row>
    <row r="6" spans="1:7" ht="91">
      <c r="A6" s="225" t="s">
        <v>84</v>
      </c>
      <c r="B6" s="226" t="s">
        <v>85</v>
      </c>
      <c r="C6" s="226" t="s">
        <v>86</v>
      </c>
      <c r="D6" s="226" t="s">
        <v>87</v>
      </c>
      <c r="E6" s="226" t="s">
        <v>88</v>
      </c>
      <c r="F6" s="224" t="s">
        <v>89</v>
      </c>
      <c r="G6" s="47"/>
    </row>
    <row r="7" spans="1:7" ht="91">
      <c r="A7" s="225" t="s">
        <v>90</v>
      </c>
      <c r="B7" s="226" t="s">
        <v>91</v>
      </c>
      <c r="C7" s="226" t="s">
        <v>92</v>
      </c>
      <c r="D7" s="226" t="s">
        <v>93</v>
      </c>
      <c r="E7" s="226" t="s">
        <v>94</v>
      </c>
      <c r="F7" s="224" t="s">
        <v>77</v>
      </c>
      <c r="G7" s="47"/>
    </row>
    <row r="8" spans="1:7" ht="104">
      <c r="A8" s="225" t="s">
        <v>95</v>
      </c>
      <c r="B8" s="226" t="s">
        <v>96</v>
      </c>
      <c r="C8" s="226" t="s">
        <v>97</v>
      </c>
      <c r="D8" s="226" t="s">
        <v>98</v>
      </c>
      <c r="E8" s="226" t="s">
        <v>99</v>
      </c>
      <c r="F8" s="224" t="s">
        <v>89</v>
      </c>
      <c r="G8" s="47"/>
    </row>
    <row r="9" spans="1:7" ht="16">
      <c r="A9" s="351" t="s">
        <v>100</v>
      </c>
      <c r="B9" s="352"/>
      <c r="C9" s="352"/>
      <c r="D9" s="352"/>
      <c r="E9" s="352"/>
      <c r="F9" s="353" cm="1">
        <f t="array" ref="F9">SUMPRODUCT(_xlfn.XLOOKUP(F4:F8, {"Gender-Aware Adopter","Gender-Responsive Implementer","Gender Equity Advocate","Gender Equity Leader"}, {1,2,3,4}, 0))</f>
        <v>10</v>
      </c>
      <c r="G9" s="47"/>
    </row>
    <row r="10" spans="1:7" ht="51">
      <c r="A10" s="349" t="s">
        <v>101</v>
      </c>
      <c r="B10" s="350"/>
      <c r="C10" s="350"/>
      <c r="D10" s="350"/>
      <c r="E10" s="350"/>
      <c r="F10" s="354" t="str">
        <f>IF(F9&lt;=8, "Gender Aware Adopter",
 IF(F9&lt;=12, "Gender-Responsive Implementer",
 IF(F9&lt;=16, "Gender Equity Advocate",
 IF(F9&lt;=20, "Gender Equity Leader", ""))))</f>
        <v>Gender-Responsive Implementer</v>
      </c>
      <c r="G10" s="47"/>
    </row>
    <row r="11" spans="1:7" ht="13">
      <c r="A11" s="3"/>
      <c r="B11" s="308"/>
      <c r="C11" s="309"/>
      <c r="D11" s="3"/>
      <c r="E11" s="3"/>
      <c r="F11" s="3"/>
      <c r="G11" s="2"/>
    </row>
    <row r="12" spans="1:7" ht="13">
      <c r="A12" s="3"/>
      <c r="B12" s="308"/>
      <c r="C12" s="309"/>
      <c r="D12" s="3"/>
      <c r="E12" s="3"/>
      <c r="F12" s="3"/>
      <c r="G12" s="2"/>
    </row>
    <row r="13" spans="1:7" ht="13">
      <c r="A13" s="386" t="s">
        <v>102</v>
      </c>
      <c r="B13" s="387"/>
      <c r="C13" s="387"/>
      <c r="D13" s="3"/>
      <c r="E13" s="3"/>
      <c r="F13" s="3"/>
      <c r="G13" s="2"/>
    </row>
    <row r="14" spans="1:7" ht="13" outlineLevel="1">
      <c r="A14" s="4"/>
      <c r="B14" s="310" t="s">
        <v>103</v>
      </c>
      <c r="C14" s="311" t="s">
        <v>104</v>
      </c>
      <c r="D14" s="3"/>
      <c r="E14" s="3"/>
      <c r="F14" s="3"/>
      <c r="G14" s="2"/>
    </row>
    <row r="15" spans="1:7" ht="78" outlineLevel="1">
      <c r="A15" s="312" t="s">
        <v>77</v>
      </c>
      <c r="B15" s="355" t="s">
        <v>105</v>
      </c>
      <c r="C15" s="346" t="s">
        <v>106</v>
      </c>
      <c r="E15" s="3"/>
      <c r="F15" s="3"/>
      <c r="G15" s="2"/>
    </row>
    <row r="16" spans="1:7" ht="65" outlineLevel="1">
      <c r="A16" s="72" t="s">
        <v>89</v>
      </c>
      <c r="B16" s="356" t="s">
        <v>107</v>
      </c>
      <c r="C16" s="347" t="s">
        <v>108</v>
      </c>
      <c r="E16" s="3"/>
      <c r="F16" s="3"/>
      <c r="G16" s="2"/>
    </row>
    <row r="17" spans="1:7" ht="91" outlineLevel="1">
      <c r="A17" s="72" t="s">
        <v>109</v>
      </c>
      <c r="B17" s="357" t="s">
        <v>110</v>
      </c>
      <c r="C17" s="347" t="s">
        <v>111</v>
      </c>
      <c r="E17" s="3"/>
      <c r="F17" s="3"/>
      <c r="G17" s="2"/>
    </row>
    <row r="18" spans="1:7" ht="39" outlineLevel="1">
      <c r="A18" s="72" t="s">
        <v>83</v>
      </c>
      <c r="B18" s="358" t="s">
        <v>112</v>
      </c>
      <c r="C18" s="348" t="s">
        <v>113</v>
      </c>
      <c r="D18" s="3"/>
      <c r="E18" s="3"/>
      <c r="F18" s="3"/>
      <c r="G18" s="2"/>
    </row>
  </sheetData>
  <mergeCells count="3">
    <mergeCell ref="A13:C13"/>
    <mergeCell ref="F2:G2"/>
    <mergeCell ref="F1:G1"/>
  </mergeCells>
  <printOptions horizontalCentered="1" gridLines="1"/>
  <pageMargins left="0.7" right="0.7" top="0.75" bottom="0.75" header="0" footer="0"/>
  <pageSetup scale="47" fitToHeight="0" pageOrder="overThenDown" orientation="landscape" cellComments="atEnd" r:id="rId1"/>
  <extLst>
    <ext xmlns:x14="http://schemas.microsoft.com/office/spreadsheetml/2009/9/main" uri="{CCE6A557-97BC-4b89-ADB6-D9C93CAAB3DF}">
      <x14:dataValidations xmlns:xm="http://schemas.microsoft.com/office/excel/2006/main" count="1">
        <x14:dataValidation type="list" allowBlank="1" showErrorMessage="1" xr:uid="{5CB178E0-6E54-4DE0-8253-6DEB130083D0}">
          <x14:formula1>
            <xm:f>List!$H$1:$H$4</xm:f>
          </x14:formula1>
          <xm:sqref>F4:F8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FF303-C38B-4A20-BB07-CD4B6641F3AC}">
  <sheetPr codeName="Sheet2">
    <tabColor theme="2" tint="-0.14999847407452621"/>
  </sheetPr>
  <dimension ref="A1:N34"/>
  <sheetViews>
    <sheetView showGridLines="0" view="pageBreakPreview" zoomScale="116" zoomScaleNormal="100" zoomScaleSheetLayoutView="116" workbookViewId="0"/>
  </sheetViews>
  <sheetFormatPr baseColWidth="10" defaultColWidth="8.83203125" defaultRowHeight="13"/>
  <cols>
    <col min="3" max="3" width="16.1640625" customWidth="1"/>
    <col min="4" max="5" width="9.5" customWidth="1"/>
    <col min="6" max="6" width="14.1640625" customWidth="1"/>
    <col min="7" max="7" width="10.5" customWidth="1"/>
    <col min="8" max="8" width="10.5" style="90" customWidth="1"/>
    <col min="9" max="9" width="12.83203125" customWidth="1"/>
    <col min="10" max="10" width="10.1640625" bestFit="1" customWidth="1"/>
    <col min="11" max="11" width="12.5" customWidth="1"/>
    <col min="12" max="12" width="15.5" customWidth="1"/>
    <col min="13" max="13" width="8.1640625" bestFit="1" customWidth="1"/>
    <col min="14" max="14" width="13.5" bestFit="1" customWidth="1"/>
  </cols>
  <sheetData>
    <row r="1" spans="1:14">
      <c r="A1" s="247" t="e" vm="1">
        <v>#VALUE!</v>
      </c>
    </row>
    <row r="2" spans="1:14" ht="42">
      <c r="A2" s="148" t="s">
        <v>114</v>
      </c>
      <c r="B2" s="149" t="s">
        <v>115</v>
      </c>
      <c r="C2" s="149" t="s">
        <v>116</v>
      </c>
      <c r="D2" s="149" t="s">
        <v>117</v>
      </c>
      <c r="E2" s="149" t="s">
        <v>118</v>
      </c>
      <c r="F2" s="149" t="s">
        <v>119</v>
      </c>
      <c r="G2" s="149" t="s">
        <v>120</v>
      </c>
      <c r="H2" s="149" t="s">
        <v>121</v>
      </c>
      <c r="I2" s="149" t="s">
        <v>122</v>
      </c>
      <c r="J2" s="149" t="str">
        <f xml:space="preserve"> "Salary" &amp;   ('Inputs (optional)'!C4)</f>
        <v>SalaryINR</v>
      </c>
      <c r="K2" s="149" t="s">
        <v>123</v>
      </c>
      <c r="L2" s="150" t="s">
        <v>124</v>
      </c>
      <c r="M2" s="231" t="s">
        <v>125</v>
      </c>
      <c r="N2" s="232" t="s">
        <v>40</v>
      </c>
    </row>
    <row r="3" spans="1:14">
      <c r="A3" s="151"/>
      <c r="B3" s="108"/>
      <c r="C3" s="313" t="s">
        <v>126</v>
      </c>
      <c r="D3" s="313" t="s">
        <v>127</v>
      </c>
      <c r="E3" s="313"/>
      <c r="F3" s="313" t="s">
        <v>128</v>
      </c>
      <c r="G3" s="147">
        <v>43891</v>
      </c>
      <c r="H3" s="147"/>
      <c r="I3" s="147">
        <v>44745</v>
      </c>
      <c r="J3" s="109">
        <v>5000</v>
      </c>
      <c r="K3" s="147"/>
      <c r="L3" s="152">
        <v>5</v>
      </c>
    </row>
    <row r="4" spans="1:14">
      <c r="A4" s="153"/>
      <c r="B4" s="100"/>
      <c r="C4" s="101" t="s">
        <v>129</v>
      </c>
      <c r="D4" s="101" t="s">
        <v>130</v>
      </c>
      <c r="E4" s="101"/>
      <c r="F4" s="101" t="s">
        <v>131</v>
      </c>
      <c r="G4" s="147">
        <v>44749</v>
      </c>
      <c r="H4" s="147">
        <v>45509</v>
      </c>
      <c r="I4" s="147">
        <v>45480</v>
      </c>
      <c r="J4" s="110">
        <v>500</v>
      </c>
      <c r="K4" s="147">
        <v>45145</v>
      </c>
      <c r="L4" s="154">
        <v>6</v>
      </c>
    </row>
    <row r="5" spans="1:14">
      <c r="A5" s="153"/>
      <c r="B5" s="100"/>
      <c r="C5" s="101" t="s">
        <v>132</v>
      </c>
      <c r="D5" s="101" t="s">
        <v>127</v>
      </c>
      <c r="E5" s="101"/>
      <c r="F5" s="101" t="s">
        <v>133</v>
      </c>
      <c r="G5" s="147">
        <v>45143</v>
      </c>
      <c r="H5" s="147">
        <v>45994</v>
      </c>
      <c r="I5" s="147"/>
      <c r="J5" s="110">
        <v>7000</v>
      </c>
      <c r="K5" s="147">
        <v>45263</v>
      </c>
      <c r="L5" s="154">
        <v>10</v>
      </c>
    </row>
    <row r="6" spans="1:14">
      <c r="A6" s="153"/>
      <c r="B6" s="100"/>
      <c r="C6" s="101" t="s">
        <v>134</v>
      </c>
      <c r="D6" s="101" t="s">
        <v>130</v>
      </c>
      <c r="E6" s="101"/>
      <c r="F6" s="101" t="s">
        <v>135</v>
      </c>
      <c r="G6" s="147">
        <v>44533</v>
      </c>
      <c r="H6" s="147">
        <v>45778</v>
      </c>
      <c r="I6" s="147"/>
      <c r="J6" s="110">
        <v>800</v>
      </c>
      <c r="K6" s="147">
        <v>45142</v>
      </c>
      <c r="L6" s="154">
        <v>8</v>
      </c>
    </row>
    <row r="7" spans="1:14">
      <c r="A7" s="153"/>
      <c r="B7" s="100"/>
      <c r="C7" s="101" t="s">
        <v>136</v>
      </c>
      <c r="D7" s="101" t="s">
        <v>130</v>
      </c>
      <c r="E7" s="100"/>
      <c r="F7" s="101" t="s">
        <v>137</v>
      </c>
      <c r="G7" s="147">
        <v>43831</v>
      </c>
      <c r="H7" s="147"/>
      <c r="I7" s="147"/>
      <c r="J7" s="110">
        <v>1000</v>
      </c>
      <c r="K7" s="147"/>
      <c r="L7" s="154">
        <v>9</v>
      </c>
    </row>
    <row r="8" spans="1:14">
      <c r="A8" s="153"/>
      <c r="B8" s="100"/>
      <c r="C8" s="100"/>
      <c r="D8" s="101" t="s">
        <v>130</v>
      </c>
      <c r="E8" s="100"/>
      <c r="F8" s="101" t="s">
        <v>138</v>
      </c>
      <c r="G8" s="147">
        <v>44785</v>
      </c>
      <c r="H8" s="147"/>
      <c r="I8" s="147">
        <v>45150</v>
      </c>
      <c r="J8" s="110">
        <v>5000</v>
      </c>
      <c r="K8" s="147"/>
      <c r="L8" s="154">
        <v>10</v>
      </c>
    </row>
    <row r="9" spans="1:14">
      <c r="A9" s="153"/>
      <c r="B9" s="100"/>
      <c r="C9" s="100"/>
      <c r="D9" s="101" t="s">
        <v>127</v>
      </c>
      <c r="E9" s="100"/>
      <c r="F9" s="101" t="s">
        <v>131</v>
      </c>
      <c r="G9" s="147">
        <v>44562</v>
      </c>
      <c r="H9" s="147"/>
      <c r="I9" s="147">
        <v>45142</v>
      </c>
      <c r="J9" s="110">
        <v>4000</v>
      </c>
      <c r="K9" s="147"/>
      <c r="L9" s="154">
        <v>11</v>
      </c>
    </row>
    <row r="10" spans="1:14">
      <c r="A10" s="153"/>
      <c r="B10" s="100"/>
      <c r="C10" s="100"/>
      <c r="D10" s="101" t="s">
        <v>130</v>
      </c>
      <c r="E10" s="100"/>
      <c r="F10" s="101" t="s">
        <v>133</v>
      </c>
      <c r="G10" s="147">
        <v>44197</v>
      </c>
      <c r="H10" s="147"/>
      <c r="I10" s="147">
        <v>44413</v>
      </c>
      <c r="J10" s="110">
        <v>2000</v>
      </c>
      <c r="K10" s="147"/>
      <c r="L10" s="154">
        <v>12</v>
      </c>
    </row>
    <row r="11" spans="1:14">
      <c r="A11" s="153"/>
      <c r="B11" s="100"/>
      <c r="C11" s="100"/>
      <c r="D11" s="101" t="s">
        <v>127</v>
      </c>
      <c r="E11" s="100"/>
      <c r="F11" s="101" t="s">
        <v>139</v>
      </c>
      <c r="G11" s="147">
        <v>44562</v>
      </c>
      <c r="H11" s="147"/>
      <c r="I11" s="147">
        <v>45629</v>
      </c>
      <c r="J11" s="110">
        <v>7000</v>
      </c>
      <c r="K11" s="147"/>
      <c r="L11" s="154">
        <v>6</v>
      </c>
    </row>
    <row r="12" spans="1:14">
      <c r="A12" s="153"/>
      <c r="B12" s="100"/>
      <c r="C12" s="100"/>
      <c r="D12" s="101" t="s">
        <v>130</v>
      </c>
      <c r="E12" s="100"/>
      <c r="F12" s="101" t="s">
        <v>133</v>
      </c>
      <c r="G12" s="147">
        <v>43831</v>
      </c>
      <c r="H12" s="147"/>
      <c r="I12" s="147">
        <v>44562</v>
      </c>
      <c r="J12" s="110">
        <v>5000</v>
      </c>
      <c r="K12" s="147"/>
      <c r="L12" s="154">
        <v>2</v>
      </c>
    </row>
    <row r="13" spans="1:14">
      <c r="A13" s="153"/>
      <c r="B13" s="100"/>
      <c r="C13" s="100"/>
      <c r="D13" s="101" t="s">
        <v>130</v>
      </c>
      <c r="E13" s="100"/>
      <c r="F13" s="101" t="s">
        <v>135</v>
      </c>
      <c r="G13" s="147">
        <v>43802</v>
      </c>
      <c r="H13" s="147"/>
      <c r="I13" s="147">
        <v>45150</v>
      </c>
      <c r="J13" s="110">
        <v>1000</v>
      </c>
      <c r="K13" s="147">
        <v>44256</v>
      </c>
      <c r="L13" s="154">
        <v>3</v>
      </c>
    </row>
    <row r="14" spans="1:14">
      <c r="A14" s="153"/>
      <c r="B14" s="100"/>
      <c r="C14" s="100"/>
      <c r="D14" s="101" t="s">
        <v>127</v>
      </c>
      <c r="E14" s="100"/>
      <c r="F14" s="101" t="s">
        <v>133</v>
      </c>
      <c r="G14" s="147">
        <v>44776</v>
      </c>
      <c r="H14" s="147"/>
      <c r="I14" s="147">
        <v>44927</v>
      </c>
      <c r="J14" s="110">
        <v>5000</v>
      </c>
      <c r="K14" s="147"/>
      <c r="L14" s="154">
        <v>4</v>
      </c>
    </row>
    <row r="15" spans="1:14">
      <c r="A15" s="153"/>
      <c r="B15" s="100"/>
      <c r="C15" s="100"/>
      <c r="D15" s="101" t="s">
        <v>127</v>
      </c>
      <c r="E15" s="100"/>
      <c r="F15" s="101" t="s">
        <v>135</v>
      </c>
      <c r="G15" s="147">
        <v>45296</v>
      </c>
      <c r="H15" s="147"/>
      <c r="I15" s="147">
        <v>45292</v>
      </c>
      <c r="J15" s="110">
        <v>10000</v>
      </c>
      <c r="K15" s="147"/>
      <c r="L15" s="154">
        <v>5</v>
      </c>
    </row>
    <row r="16" spans="1:14">
      <c r="A16" s="153"/>
      <c r="B16" s="100"/>
      <c r="C16" s="100"/>
      <c r="D16" s="101" t="s">
        <v>127</v>
      </c>
      <c r="E16" s="100"/>
      <c r="F16" s="101" t="s">
        <v>137</v>
      </c>
      <c r="G16" s="147">
        <v>45053</v>
      </c>
      <c r="H16" s="147"/>
      <c r="I16" s="147">
        <v>45658</v>
      </c>
      <c r="J16" s="110">
        <v>11000</v>
      </c>
      <c r="K16" s="147"/>
      <c r="L16" s="154">
        <v>10</v>
      </c>
    </row>
    <row r="17" spans="1:12">
      <c r="A17" s="153"/>
      <c r="B17" s="100"/>
      <c r="C17" s="100"/>
      <c r="D17" s="101" t="s">
        <v>127</v>
      </c>
      <c r="E17" s="100"/>
      <c r="F17" s="101" t="s">
        <v>131</v>
      </c>
      <c r="G17" s="147">
        <v>44350</v>
      </c>
      <c r="H17" s="147"/>
      <c r="I17" s="147">
        <v>44562</v>
      </c>
      <c r="J17" s="110">
        <v>5000</v>
      </c>
      <c r="K17" s="147"/>
      <c r="L17" s="154">
        <v>7</v>
      </c>
    </row>
    <row r="18" spans="1:12">
      <c r="A18" s="153"/>
      <c r="B18" s="100"/>
      <c r="C18" s="100"/>
      <c r="D18" s="101" t="s">
        <v>130</v>
      </c>
      <c r="E18" s="100"/>
      <c r="F18" s="101" t="s">
        <v>131</v>
      </c>
      <c r="G18" s="147">
        <v>43682</v>
      </c>
      <c r="H18" s="147"/>
      <c r="I18" s="147">
        <v>45629</v>
      </c>
      <c r="J18" s="110">
        <v>7000</v>
      </c>
      <c r="K18" s="147">
        <v>43800</v>
      </c>
      <c r="L18" s="154"/>
    </row>
    <row r="19" spans="1:12">
      <c r="A19" s="153"/>
      <c r="B19" s="100"/>
      <c r="C19" s="100"/>
      <c r="D19" s="101" t="s">
        <v>130</v>
      </c>
      <c r="E19" s="100"/>
      <c r="F19" s="101" t="s">
        <v>140</v>
      </c>
      <c r="G19" s="147">
        <v>45053</v>
      </c>
      <c r="H19" s="147"/>
      <c r="I19" s="147">
        <v>45141</v>
      </c>
      <c r="J19" s="110">
        <v>3000</v>
      </c>
      <c r="K19" s="147"/>
      <c r="L19" s="154"/>
    </row>
    <row r="20" spans="1:12">
      <c r="A20" s="153"/>
      <c r="B20" s="100"/>
      <c r="C20" s="100"/>
      <c r="D20" s="101" t="s">
        <v>127</v>
      </c>
      <c r="E20" s="100"/>
      <c r="F20" s="101" t="s">
        <v>140</v>
      </c>
      <c r="G20" s="147">
        <v>44350</v>
      </c>
      <c r="H20" s="147"/>
      <c r="I20" s="147">
        <v>45662</v>
      </c>
      <c r="J20" s="110">
        <v>7500</v>
      </c>
      <c r="K20" s="147"/>
      <c r="L20" s="154"/>
    </row>
    <row r="21" spans="1:12">
      <c r="A21" s="153"/>
      <c r="B21" s="100"/>
      <c r="C21" s="100"/>
      <c r="D21" s="101" t="s">
        <v>127</v>
      </c>
      <c r="E21" s="100"/>
      <c r="F21" s="101" t="s">
        <v>140</v>
      </c>
      <c r="G21" s="147">
        <v>44778</v>
      </c>
      <c r="H21" s="147"/>
      <c r="I21" s="147">
        <v>45419</v>
      </c>
      <c r="J21" s="110">
        <v>10000</v>
      </c>
      <c r="K21" s="147">
        <v>45145</v>
      </c>
      <c r="L21" s="154"/>
    </row>
    <row r="22" spans="1:12">
      <c r="A22" s="153"/>
      <c r="B22" s="100"/>
      <c r="C22" s="100"/>
      <c r="D22" s="101" t="s">
        <v>127</v>
      </c>
      <c r="E22" s="100"/>
      <c r="F22" s="101" t="s">
        <v>133</v>
      </c>
      <c r="G22" s="147">
        <v>43831</v>
      </c>
      <c r="H22" s="147"/>
      <c r="I22" s="147"/>
      <c r="J22" s="110">
        <v>8000</v>
      </c>
      <c r="K22" s="147">
        <v>45263</v>
      </c>
      <c r="L22" s="154"/>
    </row>
    <row r="23" spans="1:12">
      <c r="A23" s="153"/>
      <c r="B23" s="100"/>
      <c r="C23" s="100"/>
      <c r="D23" s="101" t="s">
        <v>130</v>
      </c>
      <c r="E23" s="100"/>
      <c r="F23" s="101" t="s">
        <v>138</v>
      </c>
      <c r="G23" s="147">
        <v>44931</v>
      </c>
      <c r="H23" s="147">
        <v>45570</v>
      </c>
      <c r="I23" s="147"/>
      <c r="J23" s="110">
        <v>1000</v>
      </c>
      <c r="K23" s="147">
        <v>45142</v>
      </c>
      <c r="L23" s="154"/>
    </row>
    <row r="24" spans="1:12">
      <c r="A24" s="153"/>
      <c r="B24" s="100"/>
      <c r="C24" s="100"/>
      <c r="D24" s="101" t="s">
        <v>127</v>
      </c>
      <c r="E24" s="100"/>
      <c r="F24" s="101" t="s">
        <v>138</v>
      </c>
      <c r="G24" s="147">
        <v>44626</v>
      </c>
      <c r="H24" s="147">
        <v>45994</v>
      </c>
      <c r="I24" s="147"/>
      <c r="J24" s="110">
        <v>2000</v>
      </c>
      <c r="K24" s="147"/>
      <c r="L24" s="154"/>
    </row>
    <row r="25" spans="1:12">
      <c r="A25" s="153"/>
      <c r="B25" s="100"/>
      <c r="C25" s="100"/>
      <c r="D25" s="101" t="s">
        <v>127</v>
      </c>
      <c r="E25" s="100"/>
      <c r="F25" s="101" t="s">
        <v>138</v>
      </c>
      <c r="G25" s="147">
        <v>45143</v>
      </c>
      <c r="H25" s="147">
        <v>45778</v>
      </c>
      <c r="I25" s="147"/>
      <c r="J25" s="110">
        <v>1550</v>
      </c>
      <c r="K25" s="147"/>
      <c r="L25" s="154"/>
    </row>
    <row r="26" spans="1:12">
      <c r="A26" s="153"/>
      <c r="B26" s="100"/>
      <c r="C26" s="100"/>
      <c r="D26" s="101" t="s">
        <v>127</v>
      </c>
      <c r="E26" s="100"/>
      <c r="F26" s="101" t="s">
        <v>137</v>
      </c>
      <c r="G26" s="147">
        <v>43831</v>
      </c>
      <c r="H26" s="147"/>
      <c r="I26" s="147"/>
      <c r="J26" s="110">
        <v>5000</v>
      </c>
      <c r="K26" s="147"/>
      <c r="L26" s="154"/>
    </row>
    <row r="27" spans="1:12">
      <c r="A27" s="153"/>
      <c r="B27" s="100"/>
      <c r="C27" s="100"/>
      <c r="D27" s="101" t="s">
        <v>127</v>
      </c>
      <c r="E27" s="100"/>
      <c r="F27" s="101" t="s">
        <v>131</v>
      </c>
      <c r="G27" s="147">
        <v>43831</v>
      </c>
      <c r="H27" s="147"/>
      <c r="I27" s="147"/>
      <c r="J27" s="110">
        <v>4000</v>
      </c>
      <c r="K27" s="147"/>
      <c r="L27" s="154"/>
    </row>
    <row r="28" spans="1:12">
      <c r="A28" s="153"/>
      <c r="B28" s="100"/>
      <c r="C28" s="100"/>
      <c r="D28" s="101" t="s">
        <v>127</v>
      </c>
      <c r="E28" s="100"/>
      <c r="F28" s="101" t="s">
        <v>133</v>
      </c>
      <c r="G28" s="147">
        <v>43831</v>
      </c>
      <c r="H28" s="147"/>
      <c r="I28" s="147"/>
      <c r="J28" s="110">
        <v>3000</v>
      </c>
      <c r="K28" s="147"/>
      <c r="L28" s="154"/>
    </row>
    <row r="29" spans="1:12">
      <c r="A29" s="153"/>
      <c r="B29" s="100"/>
      <c r="C29" s="100"/>
      <c r="D29" s="101" t="s">
        <v>127</v>
      </c>
      <c r="E29" s="100"/>
      <c r="F29" s="101" t="s">
        <v>135</v>
      </c>
      <c r="G29" s="147">
        <v>43831</v>
      </c>
      <c r="H29" s="147"/>
      <c r="I29" s="147"/>
      <c r="J29" s="110">
        <v>2000</v>
      </c>
      <c r="K29" s="147"/>
      <c r="L29" s="154"/>
    </row>
    <row r="30" spans="1:12">
      <c r="A30" s="153"/>
      <c r="B30" s="100"/>
      <c r="C30" s="100"/>
      <c r="D30" s="101" t="s">
        <v>127</v>
      </c>
      <c r="E30" s="100"/>
      <c r="F30" s="101" t="s">
        <v>137</v>
      </c>
      <c r="G30" s="147">
        <v>43466</v>
      </c>
      <c r="H30" s="147"/>
      <c r="I30" s="147"/>
      <c r="J30" s="110">
        <v>5000</v>
      </c>
      <c r="K30" s="147"/>
      <c r="L30" s="154"/>
    </row>
    <row r="31" spans="1:12">
      <c r="A31" s="153"/>
      <c r="B31" s="100"/>
      <c r="C31" s="100"/>
      <c r="D31" s="101" t="s">
        <v>127</v>
      </c>
      <c r="E31" s="100"/>
      <c r="F31" s="101" t="s">
        <v>131</v>
      </c>
      <c r="G31" s="147">
        <v>43831</v>
      </c>
      <c r="H31" s="147"/>
      <c r="I31" s="147"/>
      <c r="J31" s="110">
        <v>4000</v>
      </c>
      <c r="K31" s="147"/>
      <c r="L31" s="154"/>
    </row>
    <row r="32" spans="1:12">
      <c r="A32" s="153"/>
      <c r="B32" s="100"/>
      <c r="C32" s="100"/>
      <c r="D32" s="101" t="s">
        <v>127</v>
      </c>
      <c r="E32" s="100"/>
      <c r="F32" s="101" t="s">
        <v>133</v>
      </c>
      <c r="G32" s="147">
        <v>43831</v>
      </c>
      <c r="H32" s="147">
        <v>44986</v>
      </c>
      <c r="I32" s="147"/>
      <c r="J32" s="110">
        <v>3000</v>
      </c>
      <c r="K32" s="147"/>
      <c r="L32" s="154"/>
    </row>
    <row r="33" spans="1:12">
      <c r="A33" s="153"/>
      <c r="B33" s="100"/>
      <c r="C33" s="100"/>
      <c r="D33" s="101" t="s">
        <v>127</v>
      </c>
      <c r="E33" s="100"/>
      <c r="F33" s="101" t="s">
        <v>135</v>
      </c>
      <c r="G33" s="147">
        <v>43831</v>
      </c>
      <c r="H33" s="147"/>
      <c r="I33" s="147"/>
      <c r="J33" s="110">
        <v>2000</v>
      </c>
      <c r="K33" s="147"/>
      <c r="L33" s="154"/>
    </row>
    <row r="34" spans="1:12">
      <c r="D34" t="s">
        <v>130</v>
      </c>
      <c r="F34" t="s">
        <v>133</v>
      </c>
      <c r="G34" s="362">
        <v>45122</v>
      </c>
    </row>
  </sheetData>
  <autoFilter ref="C2:L33" xr:uid="{BEBFF303-C38B-4A20-BB07-CD4B6641F3AC}"/>
  <hyperlinks>
    <hyperlink ref="N2" location="'Inputs (optional)'!A1" display="'Inputs (optional)'!A1" xr:uid="{F97C9FCC-BA24-4CD0-831A-43EAD8270AB5}"/>
  </hyperlinks>
  <pageMargins left="0.7" right="0.7" top="0.75" bottom="0.75" header="0.3" footer="0.3"/>
  <pageSetup paperSize="9" scale="50"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D5ED9F5-6F44-4486-AB97-C262C62F4594}">
          <x14:formula1>
            <xm:f>List!$A$4:$A$5</xm:f>
          </x14:formula1>
          <xm:sqref>D3:D101</xm:sqref>
        </x14:dataValidation>
        <x14:dataValidation type="list" allowBlank="1" showInputMessage="1" showErrorMessage="1" xr:uid="{EAD14931-7813-4BE1-8443-16564E0D0909}">
          <x14:formula1>
            <xm:f>List!$A$8:$A$15</xm:f>
          </x14:formula1>
          <xm:sqref>F3:F101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CD8C9-65FC-4E6E-A869-ED887C716FB2}">
  <sheetPr codeName="Sheet3">
    <tabColor theme="0" tint="-0.14999847407452621"/>
  </sheetPr>
  <dimension ref="A1:I86"/>
  <sheetViews>
    <sheetView showGridLines="0" view="pageBreakPreview" topLeftCell="A7" zoomScale="78" zoomScaleNormal="75" zoomScaleSheetLayoutView="100" workbookViewId="0">
      <selection activeCell="A7" sqref="A7"/>
    </sheetView>
  </sheetViews>
  <sheetFormatPr baseColWidth="10" defaultColWidth="8.83203125" defaultRowHeight="13" outlineLevelRow="1"/>
  <cols>
    <col min="1" max="1" width="5.5" style="75" customWidth="1"/>
    <col min="2" max="2" width="68.1640625" customWidth="1"/>
    <col min="3" max="3" width="18.5" customWidth="1"/>
    <col min="4" max="4" width="18.1640625" customWidth="1"/>
    <col min="5" max="6" width="25.1640625" customWidth="1"/>
    <col min="7" max="7" width="30.5" customWidth="1"/>
    <col min="10" max="10" width="11.83203125" customWidth="1"/>
  </cols>
  <sheetData>
    <row r="1" spans="1:9">
      <c r="B1" s="247" t="e" vm="1">
        <v>#VALUE!</v>
      </c>
    </row>
    <row r="2" spans="1:9" ht="14">
      <c r="B2" s="243" t="s">
        <v>141</v>
      </c>
      <c r="C2" s="244" t="s">
        <v>142</v>
      </c>
      <c r="E2" s="179" t="s">
        <v>143</v>
      </c>
      <c r="F2" s="179"/>
      <c r="G2" s="179"/>
      <c r="H2" s="231" t="s">
        <v>125</v>
      </c>
      <c r="I2" s="232" t="s">
        <v>144</v>
      </c>
    </row>
    <row r="3" spans="1:9" ht="14">
      <c r="B3" s="243" t="s">
        <v>115</v>
      </c>
      <c r="C3" s="314" t="s">
        <v>145</v>
      </c>
      <c r="E3" s="100" t="s">
        <v>146</v>
      </c>
      <c r="F3" s="100"/>
      <c r="G3" s="100">
        <v>4</v>
      </c>
    </row>
    <row r="4" spans="1:9" ht="14">
      <c r="B4" s="243" t="s">
        <v>147</v>
      </c>
      <c r="C4" s="314" t="s">
        <v>148</v>
      </c>
      <c r="E4" s="100" t="s">
        <v>149</v>
      </c>
      <c r="F4" s="100"/>
      <c r="G4" s="100"/>
    </row>
    <row r="5" spans="1:9" ht="14">
      <c r="B5" s="243" t="s">
        <v>150</v>
      </c>
      <c r="C5" s="315">
        <v>45382</v>
      </c>
      <c r="E5" s="100"/>
      <c r="F5" s="100"/>
      <c r="G5" s="100"/>
    </row>
    <row r="6" spans="1:9" ht="14">
      <c r="B6" s="243" t="s">
        <v>151</v>
      </c>
      <c r="C6" s="315">
        <v>45597</v>
      </c>
      <c r="E6" s="100"/>
      <c r="F6" s="100"/>
      <c r="G6" s="100"/>
    </row>
    <row r="7" spans="1:9">
      <c r="A7" s="316"/>
      <c r="B7" s="90"/>
    </row>
    <row r="8" spans="1:9" s="76" customFormat="1" ht="14" outlineLevel="1">
      <c r="A8" s="158"/>
      <c r="B8" s="159" t="s">
        <v>152</v>
      </c>
      <c r="C8" s="160">
        <v>44926</v>
      </c>
      <c r="D8" s="160">
        <f>EOMONTH(C8,12)</f>
        <v>45291</v>
      </c>
      <c r="E8" s="160">
        <f>EOMONTH(D8,12)</f>
        <v>45657</v>
      </c>
      <c r="F8" s="160">
        <f>EOMONTH(E8,12)</f>
        <v>46022</v>
      </c>
      <c r="G8" s="161" t="s">
        <v>153</v>
      </c>
      <c r="H8" s="20"/>
      <c r="I8" s="20"/>
    </row>
    <row r="9" spans="1:9" s="76" customFormat="1" outlineLevel="1">
      <c r="A9" s="162"/>
      <c r="B9" s="163"/>
      <c r="C9" s="163" t="s">
        <v>154</v>
      </c>
      <c r="D9" s="163" t="s">
        <v>154</v>
      </c>
      <c r="E9" s="163"/>
      <c r="F9" s="163"/>
      <c r="G9" s="317"/>
      <c r="H9" s="20"/>
      <c r="I9" s="20"/>
    </row>
    <row r="10" spans="1:9" ht="14">
      <c r="A10" s="158"/>
      <c r="B10" s="170" t="s">
        <v>155</v>
      </c>
      <c r="C10" s="171"/>
      <c r="D10" s="172"/>
      <c r="E10" s="172"/>
      <c r="F10" s="172"/>
      <c r="G10" s="173"/>
    </row>
    <row r="11" spans="1:9">
      <c r="A11" s="174" t="s">
        <v>156</v>
      </c>
      <c r="B11" s="155" t="s">
        <v>157</v>
      </c>
      <c r="C11" s="156"/>
      <c r="D11" s="156"/>
      <c r="E11" s="156"/>
      <c r="F11" s="364"/>
      <c r="G11" s="164"/>
    </row>
    <row r="12" spans="1:9" outlineLevel="1">
      <c r="A12" s="175" t="s">
        <v>158</v>
      </c>
      <c r="B12" s="97" t="s">
        <v>159</v>
      </c>
      <c r="C12" s="81" cm="1">
        <f t="array" ref="C12">SUMPRODUCT(
  --(LEN(TRIM('HR Database (optional)'!$G$3:$G$101)) &gt; 0),
  --('HR Database (optional)'!$G$3:$G$101 &lt;= C$8),
  --( ('HR Database (optional)'!$H$3:$H$101 &gt;= C$8) + ('HR Database (optional)'!$H$3:$H$101 = "") &gt; 0 ),
  --('HR Database (optional)'!$D$3:$D$101 = "Woman")
)</f>
        <v>8</v>
      </c>
      <c r="D12" s="81" cm="1">
        <f t="array" ref="D12">SUMPRODUCT(
  --(LEN(TRIM('HR Database (optional)'!$G$3:$G$101)) &gt; 0),
  --('HR Database (optional)'!$G$3:$G$101 &lt;= D$8),
  --( ('HR Database (optional)'!$H$3:$H$101 &gt;= D$8) + ('HR Database (optional)'!$H$3:$H$101 = "") &gt; 0 ),
  --('HR Database (optional)'!$D$3:$D$101 = "Woman")
)</f>
        <v>11</v>
      </c>
      <c r="E12" s="81" cm="1">
        <f t="array" ref="E12">SUMPRODUCT(
  --(LEN(TRIM('HR Database (optional)'!$G$3:$G$101)) &gt; 0),
  --('HR Database (optional)'!$G$3:$G$101 &lt;= E$8),
  --( ('HR Database (optional)'!$H$3:$H$101 &gt;= E$8) + ('HR Database (optional)'!$H$3:$H$101 = "") &gt; 0 ),
  --('HR Database (optional)'!$D$3:$D$101 = "Woman")
)</f>
        <v>9</v>
      </c>
      <c r="F12" s="81" cm="1">
        <f t="array" ref="F12">SUMPRODUCT(
  --(LEN(TRIM('HR Database (optional)'!$G$3:$G$101)) &gt; 0),
  --('HR Database (optional)'!$G$3:$G$101 &lt;= F$8),
  --( ('HR Database (optional)'!$H$3:$H$101 &gt;= F$8) + ('HR Database (optional)'!$H$3:$H$101 = "") &gt; 0 ),
  --('HR Database (optional)'!$D$3:$D$101 = "Woman")
)</f>
        <v>8</v>
      </c>
      <c r="G12" s="165"/>
    </row>
    <row r="13" spans="1:9" outlineLevel="1">
      <c r="A13" s="175" t="s">
        <v>160</v>
      </c>
      <c r="B13" s="97" t="s">
        <v>161</v>
      </c>
      <c r="C13" s="81" cm="1">
        <f t="array" ref="C13">SUMPRODUCT(
  --(LEN(TRIM('HR Database (optional)'!$G$3:$G$101)) &gt; 0),
  --('HR Database (optional)'!$G$3:$G$101 &lt;= C8),
  --( ('HR Database (optional)'!$H$3:$H$101 &gt;= C8) + ('HR Database (optional)'!$H$3:$H$101 = "") &gt; 0 )
)</f>
        <v>25</v>
      </c>
      <c r="D13" s="81" cm="1">
        <f t="array" ref="D13">SUMPRODUCT(
  --(LEN(TRIM('HR Database (optional)'!$G$3:$G$101)) &gt; 0),
  --('HR Database (optional)'!$G$3:$G$101 &lt;= D8),
  --( ('HR Database (optional)'!$H$3:$H$101 &gt;= D8) + ('HR Database (optional)'!$H$3:$H$101 = "") &gt; 0 )
)</f>
        <v>30</v>
      </c>
      <c r="E13" s="81" cm="1">
        <f t="array" ref="E13">SUMPRODUCT(
  --(LEN(TRIM('HR Database (optional)'!$G$3:$G$101)) &gt; 0),
  --('HR Database (optional)'!$G$3:$G$101 &lt;= E8),
  --( ('HR Database (optional)'!$H$3:$H$101 &gt;= E8) + ('HR Database (optional)'!$H$3:$H$101 = "") &gt; 0 )
)</f>
        <v>29</v>
      </c>
      <c r="F13" s="81" cm="1">
        <f t="array" ref="F13">SUMPRODUCT(
  --(LEN(TRIM('HR Database (optional)'!$G$3:$G$101)) &gt; 0),
  --('HR Database (optional)'!$G$3:$G$101 &lt;= F8),
  --( ('HR Database (optional)'!$H$3:$H$101 &gt;= F8) + ('HR Database (optional)'!$H$3:$H$101 = "") &gt; 0 )
)</f>
        <v>25</v>
      </c>
      <c r="G13" s="165"/>
    </row>
    <row r="14" spans="1:9" outlineLevel="1">
      <c r="A14" s="175" t="s">
        <v>162</v>
      </c>
      <c r="B14" s="97" t="s">
        <v>163</v>
      </c>
      <c r="C14" s="81" cm="1">
        <f t="array" ref="C14">SUMPRODUCT(
  --(LEN(TRIM('HR Database (optional)'!$G$3:$G$101)) &gt; 0),
  --('HR Database (optional)'!$G$3:$G$101 &lt;= C$8),
  --( ('HR Database (optional)'!$H$3:$H$101 &gt;= C$8) + ('HR Database (optional)'!$H$3:$H$101 = "") &gt; 0 ), --(TRIM('HR Database (optional)'!$D$3:$D$101) = "Woman"),
  --(('HR Database (optional)'!$F$3:$F$101 = "Manager")+ (TRIM('HR Database (optional)'!$F$3:$F$101) = "Senior Manager") &gt; 0 )
)</f>
        <v>2</v>
      </c>
      <c r="D14" s="81" cm="1">
        <f t="array" ref="D14">SUMPRODUCT(
  --(LEN(TRIM('HR Database (optional)'!$G$3:$G$101)) &gt; 0),
  --('HR Database (optional)'!$G$3:$G$101 &lt;= D$8),
  --( ('HR Database (optional)'!$H$3:$H$101 &gt;= D$8) + ('HR Database (optional)'!$H$3:$H$101 = "") &gt; 0 ), --(TRIM('HR Database (optional)'!$D$3:$D$101) = "Woman"),
  --(('HR Database (optional)'!$F$3:$F$101 = "Manager")+ (TRIM('HR Database (optional)'!$F$3:$F$101) = "Senior Manager") &gt; 0 )
)</f>
        <v>2</v>
      </c>
      <c r="E14" s="81" cm="1">
        <f t="array" ref="E14">SUMPRODUCT(
  --(LEN(TRIM('HR Database (optional)'!$G$3:$G$101)) &gt; 0),
  --('HR Database (optional)'!$G$3:$G$101 &lt;= E$8),
  --( ('HR Database (optional)'!$H$3:$H$101 &gt;= E$8) + ('HR Database (optional)'!$H$3:$H$101 = "") &gt; 0 ), --(TRIM('HR Database (optional)'!$D$3:$D$101) = "Woman"),
  --(('HR Database (optional)'!$F$3:$F$101 = "Manager")+ (TRIM('HR Database (optional)'!$F$3:$F$101) = "Senior Manager") &gt; 0 )
)</f>
        <v>1</v>
      </c>
      <c r="F14" s="81" cm="1">
        <f t="array" ref="F14">SUMPRODUCT(
  --(LEN(TRIM('HR Database (optional)'!$G$3:$G$101)) &gt; 0),
  --('HR Database (optional)'!$G$3:$G$101 &lt;= F$8),
  --( ('HR Database (optional)'!$H$3:$H$101 &gt;= F$8) + ('HR Database (optional)'!$H$3:$H$101 = "") &gt; 0 ), --(TRIM('HR Database (optional)'!$D$3:$D$101) = "Woman"),
  --(('HR Database (optional)'!$F$3:$F$101 = "Manager")+ (TRIM('HR Database (optional)'!$F$3:$F$101) = "Senior Manager") &gt; 0 )
)</f>
        <v>1</v>
      </c>
      <c r="G14" s="165"/>
    </row>
    <row r="15" spans="1:9" outlineLevel="1">
      <c r="A15" s="175" t="s">
        <v>164</v>
      </c>
      <c r="B15" s="97" t="s">
        <v>165</v>
      </c>
      <c r="C15" s="81" cm="1">
        <f t="array" ref="C15">SUMPRODUCT(
  --(LEN(TRIM('HR Database (optional)'!$G$3:$G$101)) &gt; 0),
  --('HR Database (optional)'!$G$3:$G$101 &lt;= C$8),
  --( ('HR Database (optional)'!$H$3:$H$101 &gt;= C$8) + ('HR Database (optional)'!$H$3:$H$101 = "") &gt; 0 ),
  --(('HR Database (optional)'!$F$3:$F$101 = "Manager")+ (TRIM('HR Database (optional)'!$F$3:$F$101) = "Senior Manager") &gt; 0 )
)</f>
        <v>7</v>
      </c>
      <c r="D15" s="81" cm="1">
        <f t="array" ref="D15">SUMPRODUCT(
  --(LEN(TRIM('HR Database (optional)'!$G$3:$G$101)) &gt; 0),
  --('HR Database (optional)'!$G$3:$G$101 &lt;= D$8),
  --( ('HR Database (optional)'!$H$3:$H$101 &gt;= D$8) + ('HR Database (optional)'!$H$3:$H$101 = "") &gt; 0 ),
  --(('HR Database (optional)'!$F$3:$F$101 = "Manager")+ (TRIM('HR Database (optional)'!$F$3:$F$101) = "Senior Manager") &gt; 0 )
)</f>
        <v>7</v>
      </c>
      <c r="E15" s="81" cm="1">
        <f t="array" ref="E15">SUMPRODUCT(
  --(LEN(TRIM('HR Database (optional)'!$G$3:$G$101)) &gt; 0),
  --('HR Database (optional)'!$G$3:$G$101 &lt;= E$8),
  --( ('HR Database (optional)'!$H$3:$H$101 &gt;= E$8) + ('HR Database (optional)'!$H$3:$H$101 = "") &gt; 0 ),
  --(('HR Database (optional)'!$F$3:$F$101 = "Manager")+ (TRIM('HR Database (optional)'!$F$3:$F$101) = "Senior Manager") &gt; 0 )
)</f>
        <v>6</v>
      </c>
      <c r="F15" s="81" cm="1">
        <f t="array" ref="F15">SUMPRODUCT(
  --(LEN(TRIM('HR Database (optional)'!$G$3:$G$101)) &gt; 0),
  --('HR Database (optional)'!$G$3:$G$101 &lt;= F$8),
  --( ('HR Database (optional)'!$H$3:$H$101 &gt;= F$8) + ('HR Database (optional)'!$H$3:$H$101 = "") &gt; 0 ),
  --(('HR Database (optional)'!$F$3:$F$101 = "Manager")+ (TRIM('HR Database (optional)'!$F$3:$F$101) = "Senior Manager") &gt; 0 )
)</f>
        <v>6</v>
      </c>
      <c r="G15" s="165"/>
    </row>
    <row r="16" spans="1:9" outlineLevel="1">
      <c r="A16" s="175" t="s">
        <v>166</v>
      </c>
      <c r="B16" s="97" t="s">
        <v>167</v>
      </c>
      <c r="C16" s="81" cm="1">
        <f t="array" ref="C16">SUMPRODUCT(
  --(LEN(TRIM('HR Database (optional)'!$G$3:$G$101)) &gt; 0),
  --('HR Database (optional)'!$G$3:$G$101 &lt;= C$8),
  --( ('HR Database (optional)'!$H$3:$H$101 &gt;= C$8) + ('HR Database (optional)'!$H$3:$H$101 = "") &gt; 0 ), --(TRIM('HR Database (optional)'!$D$3:$D$101) = "Woman"),
  --('HR Database (optional)'!$F$3:$F$101 = "Board Member")
)</f>
        <v>1</v>
      </c>
      <c r="D16" s="81" cm="1">
        <f t="array" ref="D16">SUMPRODUCT(
  --(LEN(TRIM('HR Database (optional)'!$G$3:$G$101)) &gt; 0),
  --('HR Database (optional)'!$G$3:$G$101 &lt;= D$8),
  --( ('HR Database (optional)'!$H$3:$H$101 &gt;= D$8) + ('HR Database (optional)'!$H$3:$H$101 = "") &gt; 0 ), --(TRIM('HR Database (optional)'!$D$3:$D$101) = "Woman"),
  --('HR Database (optional)'!$F$3:$F$101 = "Board Member")
)</f>
        <v>1</v>
      </c>
      <c r="E16" s="81" cm="1">
        <f t="array" ref="E16">SUMPRODUCT(
  --(LEN(TRIM('HR Database (optional)'!$G$3:$G$101)) &gt; 0),
  --('HR Database (optional)'!$G$3:$G$101 &lt;= E$8),
  --( ('HR Database (optional)'!$H$3:$H$101 &gt;= E$8) + ('HR Database (optional)'!$H$3:$H$101 = "") &gt; 0 ), --(TRIM('HR Database (optional)'!$D$3:$D$101) = "Woman"),
  --('HR Database (optional)'!$F$3:$F$101 = "Board Member")
)</f>
        <v>1</v>
      </c>
      <c r="F16" s="81" cm="1">
        <f t="array" ref="F16">SUMPRODUCT(
  --(LEN(TRIM('HR Database (optional)'!$G$3:$G$101)) &gt; 0),
  --('HR Database (optional)'!$G$3:$G$101 &lt;= F$8),
  --( ('HR Database (optional)'!$H$3:$H$101 &gt;= F$8) + ('HR Database (optional)'!$H$3:$H$101 = "") &gt; 0 ), --(TRIM('HR Database (optional)'!$D$3:$D$101) = "Woman"),
  --('HR Database (optional)'!$F$3:$F$101 = "Board Member")
)</f>
        <v>1</v>
      </c>
      <c r="G16" s="165"/>
    </row>
    <row r="17" spans="1:7" outlineLevel="1">
      <c r="A17" s="175" t="s">
        <v>168</v>
      </c>
      <c r="B17" s="97" t="s">
        <v>169</v>
      </c>
      <c r="C17" s="81" cm="1">
        <f t="array" ref="C17">SUMPRODUCT(
  --(LEN(TRIM('HR Database (optional)'!$G$3:$G$101)) &gt; 0),
  --('HR Database (optional)'!$G$3:$G$101 &lt;= C$8),
  --( ('HR Database (optional)'!$H$3:$H$101 &gt;= C$8) + ('HR Database (optional)'!$H$3:$H$101 = "") &gt; 0 ),
  --('HR Database (optional)'!$F$3:$F$101 = "Board Member"))</f>
        <v>3</v>
      </c>
      <c r="D17" s="81" cm="1">
        <f t="array" ref="D17">SUMPRODUCT(
  --(LEN(TRIM('HR Database (optional)'!$G$3:$G$101)) &gt; 0),
  --('HR Database (optional)'!$G$3:$G$101 &lt;= D$8),
  --( ('HR Database (optional)'!$H$3:$H$101 &gt;= D$8) + ('HR Database (optional)'!$H$3:$H$101 = "") &gt; 0 ),
  --('HR Database (optional)'!$F$3:$F$101 = "Board Member"))</f>
        <v>4</v>
      </c>
      <c r="E17" s="81" cm="1">
        <f t="array" ref="E17">SUMPRODUCT(
  --(LEN(TRIM('HR Database (optional)'!$G$3:$G$101)) &gt; 0),
  --('HR Database (optional)'!$G$3:$G$101 &lt;= E$8),
  --( ('HR Database (optional)'!$H$3:$H$101 &gt;= E$8) + ('HR Database (optional)'!$H$3:$H$101 = "") &gt; 0 ),
  --('HR Database (optional)'!$F$3:$F$101 = "Board Member"))</f>
        <v>4</v>
      </c>
      <c r="F17" s="81" cm="1">
        <f t="array" ref="F17">SUMPRODUCT(
  --(LEN(TRIM('HR Database (optional)'!$G$3:$G$101)) &gt; 0),
  --('HR Database (optional)'!$G$3:$G$101 &lt;= F$8),
  --( ('HR Database (optional)'!$H$3:$H$101 &gt;= F$8) + ('HR Database (optional)'!$H$3:$H$101 = "") &gt; 0 ),
  --('HR Database (optional)'!$F$3:$F$101 = "Board Member"))</f>
        <v>4</v>
      </c>
      <c r="G17" s="165"/>
    </row>
    <row r="18" spans="1:7" outlineLevel="1">
      <c r="A18" s="175" t="s">
        <v>170</v>
      </c>
      <c r="B18" s="97" t="s">
        <v>171</v>
      </c>
      <c r="C18" s="81" cm="1">
        <f t="array" ref="C18">SUMPRODUCT(
  --(LEN(TRIM('HR Database (optional)'!$G$3:$G$101)) &gt; 0),
  --('HR Database (optional)'!$G$3:$G$101 &lt;= C$8),
  --( ('HR Database (optional)'!$H$3:$H$101 &gt;= C$8) + ('HR Database (optional)'!$H$3:$H$101 = "") &gt; 0 ), --(TRIM('HR Database (optional)'!$D$3:$D$101) = "Woman"),
  --('HR Database (optional)'!$F$3:$F$101 = "Executive Team")
)</f>
        <v>0</v>
      </c>
      <c r="D18" s="81" cm="1">
        <f t="array" ref="D18">SUMPRODUCT(
  --(LEN(TRIM('HR Database (optional)'!$G$3:$G$101)) &gt; 0),
  --('HR Database (optional)'!$G$3:$G$101 &lt;= D$8),
  --( ('HR Database (optional)'!$H$3:$H$101 &gt;= D$8) + ('HR Database (optional)'!$H$3:$H$101 = "") &gt; 0 ), --(TRIM('HR Database (optional)'!$D$3:$D$101) = "Woman"),
  --('HR Database (optional)'!$F$3:$F$101 = "Executive Team")
)</f>
        <v>1</v>
      </c>
      <c r="E18" s="81" cm="1">
        <f t="array" ref="E18">SUMPRODUCT(
  --(LEN(TRIM('HR Database (optional)'!$G$3:$G$101)) &gt; 0),
  --('HR Database (optional)'!$G$3:$G$101 &lt;= E$8),
  --( ('HR Database (optional)'!$H$3:$H$101 &gt;= E$8) + ('HR Database (optional)'!$H$3:$H$101 = "") &gt; 0 ), --(TRIM('HR Database (optional)'!$D$3:$D$101) = "Woman"),
  --('HR Database (optional)'!$F$3:$F$101 = "Executive Team")
)</f>
        <v>1</v>
      </c>
      <c r="F18" s="81" cm="1">
        <f t="array" ref="F18">SUMPRODUCT(
  --(LEN(TRIM('HR Database (optional)'!$G$3:$G$101)) &gt; 0),
  --('HR Database (optional)'!$G$3:$G$101 &lt;= F$8),
  --( ('HR Database (optional)'!$H$3:$H$101 &gt;= F$8) + ('HR Database (optional)'!$H$3:$H$101 = "") &gt; 0 ), --(TRIM('HR Database (optional)'!$D$3:$D$101) = "Woman"),
  --('HR Database (optional)'!$F$3:$F$101 = "Executive Team")
)</f>
        <v>1</v>
      </c>
      <c r="G18" s="165"/>
    </row>
    <row r="19" spans="1:7" outlineLevel="1">
      <c r="A19" s="175" t="s">
        <v>172</v>
      </c>
      <c r="B19" s="97" t="s">
        <v>173</v>
      </c>
      <c r="C19" s="81" cm="1">
        <f t="array" ref="C19">SUMPRODUCT(
  --(LEN(TRIM('HR Database (optional)'!$G$3:$G$101)) &gt; 0),
  --('HR Database (optional)'!$G$3:$G$101 &lt;= C$8),
  --( ('HR Database (optional)'!$H$3:$H$101 &gt;= C$8) + ('HR Database (optional)'!$H$3:$H$101 = "") &gt; 0 ),
  --('HR Database (optional)'!$F$3:$F$101 = "Executive Team"))</f>
        <v>2</v>
      </c>
      <c r="D19" s="81" cm="1">
        <f t="array" ref="D19">SUMPRODUCT(
  --(LEN(TRIM('HR Database (optional)'!$G$3:$G$101)) &gt; 0),
  --('HR Database (optional)'!$G$3:$G$101 &lt;= D$8),
  --( ('HR Database (optional)'!$H$3:$H$101 &gt;= D$8) + ('HR Database (optional)'!$H$3:$H$101 = "") &gt; 0 ),
  --('HR Database (optional)'!$F$3:$F$101 = "Executive Team"))</f>
        <v>3</v>
      </c>
      <c r="E19" s="81" cm="1">
        <f t="array" ref="E19">SUMPRODUCT(
  --(LEN(TRIM('HR Database (optional)'!$G$3:$G$101)) &gt; 0),
  --('HR Database (optional)'!$G$3:$G$101 &lt;= E$8),
  --( ('HR Database (optional)'!$H$3:$H$101 &gt;= E$8) + ('HR Database (optional)'!$H$3:$H$101 = "") &gt; 0 ),
  --('HR Database (optional)'!$F$3:$F$101 = "Executive Team"))</f>
        <v>3</v>
      </c>
      <c r="F19" s="81" cm="1">
        <f t="array" ref="F19">SUMPRODUCT(
  --(LEN(TRIM('HR Database (optional)'!$G$3:$G$101)) &gt; 0),
  --('HR Database (optional)'!$G$3:$G$101 &lt;= F$8),
  --( ('HR Database (optional)'!$H$3:$H$101 &gt;= F$8) + ('HR Database (optional)'!$H$3:$H$101 = "") &gt; 0 ),
  --('HR Database (optional)'!$F$3:$F$101 = "Executive Team"))</f>
        <v>3</v>
      </c>
      <c r="G19" s="165"/>
    </row>
    <row r="20" spans="1:7" outlineLevel="1">
      <c r="A20" s="175" t="s">
        <v>174</v>
      </c>
      <c r="B20" s="97" t="s">
        <v>175</v>
      </c>
      <c r="C20" s="81" cm="1">
        <f t="array" ref="C20">SUMPRODUCT(
  --(LEN(TRIM('HR Database (optional)'!$G$3:$G$101)) &gt; 0),
  --('HR Database (optional)'!$G$3:$G$101 &lt;= C$8),
  --( ('HR Database (optional)'!$H$3:$H$101 &gt;= C$8) + ('HR Database (optional)'!$H$3:$H$101 = "") &gt; 0 ), --(TRIM('HR Database (optional)'!$D$3:$D$101) = "Woman"),
  --('HR Database (optional)'!$F$3:$F$101 = "Senior Manager"))</f>
        <v>2</v>
      </c>
      <c r="D20" s="81" cm="1">
        <f t="array" ref="D20">SUMPRODUCT(
  --(LEN(TRIM('HR Database (optional)'!$G$3:$G$101)) &gt; 0),
  --('HR Database (optional)'!$G$3:$G$101 &lt;= D$8),
  --( ('HR Database (optional)'!$H$3:$H$101 &gt;= D$8) + ('HR Database (optional)'!$H$3:$H$101 = "") &gt; 0 ), --(TRIM('HR Database (optional)'!$D$3:$D$101) = "Woman"),
  --('HR Database (optional)'!$F$3:$F$101 = "Senior Manager")
)</f>
        <v>2</v>
      </c>
      <c r="E20" s="81" cm="1">
        <f t="array" ref="E20">SUMPRODUCT(
  --(LEN(TRIM('HR Database (optional)'!$G$3:$G$101)) &gt; 0),
  --('HR Database (optional)'!$G$3:$G$101 &lt;= E$8),
  --( ('HR Database (optional)'!$H$3:$H$101 &gt;= E$8) + ('HR Database (optional)'!$H$3:$H$101 = "") &gt; 0 ), --(TRIM('HR Database (optional)'!$D$3:$D$101) = "Woman"),
  --('HR Database (optional)'!$F$3:$F$101 = "Senior Manager")
)</f>
        <v>1</v>
      </c>
      <c r="F20" s="81" cm="1">
        <f t="array" ref="F20">SUMPRODUCT(
  --(LEN(TRIM('HR Database (optional)'!$G$3:$G$101)) &gt; 0),
  --('HR Database (optional)'!$G$3:$G$101 &lt;= F$8),
  --( ('HR Database (optional)'!$H$3:$H$101 &gt;= F$8) + ('HR Database (optional)'!$H$3:$H$101 = "") &gt; 0 ), --(TRIM('HR Database (optional)'!$D$3:$D$101) = "Woman"),
  --('HR Database (optional)'!$F$3:$F$101 = "Senior Manager")
)</f>
        <v>1</v>
      </c>
      <c r="G20" s="165"/>
    </row>
    <row r="21" spans="1:7" outlineLevel="1">
      <c r="A21" s="175" t="s">
        <v>176</v>
      </c>
      <c r="B21" s="97" t="s">
        <v>177</v>
      </c>
      <c r="C21" s="81" cm="1">
        <f t="array" ref="C21">SUMPRODUCT(
  --(LEN(TRIM('HR Database (optional)'!$G$3:$G$101)) &gt; 0),
  --('HR Database (optional)'!$G$3:$G$101 &lt;= C$8),
  --( ('HR Database (optional)'!$H$3:$H$101 &gt;= C$8) + ('HR Database (optional)'!$H$3:$H$101 = "") &gt; 0 ),
  --('HR Database (optional)'!$F$3:$F$101 = "Senior Manager"))</f>
        <v>6</v>
      </c>
      <c r="D21" s="81" cm="1">
        <f t="array" ref="D21">SUMPRODUCT(
  --(LEN(TRIM('HR Database (optional)'!$G$3:$G$101)) &gt; 0),
  --('HR Database (optional)'!$G$3:$G$101 &lt;= D$8),
  --( ('HR Database (optional)'!$H$3:$H$101 &gt;= D$8) + ('HR Database (optional)'!$H$3:$H$101 = "") &gt; 0 ),
  --('HR Database (optional)'!$F$3:$F$101 = "Senior Manager"))</f>
        <v>6</v>
      </c>
      <c r="E21" s="81" cm="1">
        <f t="array" ref="E21">SUMPRODUCT(
  --(LEN(TRIM('HR Database (optional)'!$G$3:$G$101)) &gt; 0),
  --('HR Database (optional)'!$G$3:$G$101 &lt;= E$8),
  --( ('HR Database (optional)'!$H$3:$H$101 &gt;= E$8) + ('HR Database (optional)'!$H$3:$H$101 = "") &gt; 0 ),
  --('HR Database (optional)'!$F$3:$F$101 = "Senior Manager"))</f>
        <v>5</v>
      </c>
      <c r="F21" s="81" cm="1">
        <f t="array" ref="F21">SUMPRODUCT(
  --(LEN(TRIM('HR Database (optional)'!$G$3:$G$101)) &gt; 0),
  --('HR Database (optional)'!$G$3:$G$101 &lt;= F$8),
  --( ('HR Database (optional)'!$H$3:$H$101 &gt;= F$8) + ('HR Database (optional)'!$H$3:$H$101 = "") &gt; 0 ),
  --('HR Database (optional)'!$F$3:$F$101 = "Senior Manager"))</f>
        <v>5</v>
      </c>
      <c r="G21" s="165"/>
    </row>
    <row r="22" spans="1:7" outlineLevel="1">
      <c r="A22" s="175" t="s">
        <v>178</v>
      </c>
      <c r="B22" s="97" t="s">
        <v>179</v>
      </c>
      <c r="C22" s="81" cm="1">
        <f t="array" ref="C22">SUMPRODUCT(
  --(LEN(TRIM('HR Database (optional)'!$G$3:$G$101)) &gt; 0),
  --('HR Database (optional)'!$G$3:$G$101 &lt;= C$8),
  --( ('HR Database (optional)'!$H$3:$H$101 &gt;= C$8) + ('HR Database (optional)'!$H$3:$H$101 = "") &gt; 0 ), --(TRIM('HR Database (optional)'!$D$3:$D$101) = "Woman"),
  --('HR Database (optional)'!$F$3:$F$101 = "Middle Manager")
)</f>
        <v>2</v>
      </c>
      <c r="D22" s="81" cm="1">
        <f t="array" ref="D22">SUMPRODUCT(
  --(LEN(TRIM('HR Database (optional)'!$G$3:$G$101)) &gt; 0),
  --('HR Database (optional)'!$G$3:$G$101 &lt;= D$8),
  --( ('HR Database (optional)'!$H$3:$H$101 &gt;= D$8) + ('HR Database (optional)'!$H$3:$H$101 = "") &gt; 0 ), --(TRIM('HR Database (optional)'!$D$3:$D$101) = "Woman"),
  --('HR Database (optional)'!$F$3:$F$101 = "Middle Manager")
)</f>
        <v>3</v>
      </c>
      <c r="E22" s="81" cm="1">
        <f t="array" ref="E22">SUMPRODUCT(
  --(LEN(TRIM('HR Database (optional)'!$G$3:$G$101)) &gt; 0),
  --('HR Database (optional)'!$G$3:$G$101 &lt;= E$8),
  --( ('HR Database (optional)'!$H$3:$H$101 &gt;= E$8) + ('HR Database (optional)'!$H$3:$H$101 = "") &gt; 0 ), --(TRIM('HR Database (optional)'!$D$3:$D$101) = "Woman"),
  --('HR Database (optional)'!$F$3:$F$101 = "Middle Manager")
)</f>
        <v>3</v>
      </c>
      <c r="F22" s="81" cm="1">
        <f t="array" ref="F22">SUMPRODUCT(
  --(LEN(TRIM('HR Database (optional)'!$G$3:$G$101)) &gt; 0),
  --('HR Database (optional)'!$G$3:$G$101 &lt;= F$8),
  --( ('HR Database (optional)'!$H$3:$H$101 &gt;= F$8) + ('HR Database (optional)'!$H$3:$H$101 = "") &gt; 0 ), --(TRIM('HR Database (optional)'!$D$3:$D$101) = "Woman"),
  --('HR Database (optional)'!$F$3:$F$101 = "Middle Manager")
)</f>
        <v>3</v>
      </c>
      <c r="G22" s="165"/>
    </row>
    <row r="23" spans="1:7" outlineLevel="1">
      <c r="A23" s="175" t="s">
        <v>180</v>
      </c>
      <c r="B23" s="97" t="s">
        <v>181</v>
      </c>
      <c r="C23" s="81" cm="1">
        <f t="array" ref="C23">SUMPRODUCT(
  --(LEN(TRIM('HR Database (optional)'!$G$3:$G$101)) &gt; 0),
  --('HR Database (optional)'!$G$3:$G$101 &lt;= C$8),
  --( ('HR Database (optional)'!$H$3:$H$101 &gt;= C$8) + ('HR Database (optional)'!$H$3:$H$101 = "") &gt; 0 ),
  --('HR Database (optional)'!$F$3:$F$101 = "Middle Manager"))</f>
        <v>6</v>
      </c>
      <c r="D23" s="81" cm="1">
        <f t="array" ref="D23">SUMPRODUCT(
  --(LEN(TRIM('HR Database (optional)'!$G$3:$G$101)) &gt; 0),
  --('HR Database (optional)'!$G$3:$G$101 &lt;= D$8),
  --( ('HR Database (optional)'!$H$3:$H$101 &gt;= D$8) + ('HR Database (optional)'!$H$3:$H$101 = "") &gt; 0 ),
  --('HR Database (optional)'!$F$3:$F$101 = "Middle Manager"))</f>
        <v>7</v>
      </c>
      <c r="E23" s="81" cm="1">
        <f t="array" ref="E23">SUMPRODUCT(
  --(LEN(TRIM('HR Database (optional)'!$G$3:$G$101)) &gt; 0),
  --('HR Database (optional)'!$G$3:$G$101 &lt;= E$8),
  --( ('HR Database (optional)'!$H$3:$H$101 &gt;= E$8) + ('HR Database (optional)'!$H$3:$H$101 = "") &gt; 0 ),
  --('HR Database (optional)'!$F$3:$F$101 = "Middle Manager"))</f>
        <v>7</v>
      </c>
      <c r="F23" s="81" cm="1">
        <f t="array" ref="F23">SUMPRODUCT(
  --(LEN(TRIM('HR Database (optional)'!$G$3:$G$101)) &gt; 0),
  --('HR Database (optional)'!$G$3:$G$101 &lt;= F$8),
  --( ('HR Database (optional)'!$H$3:$H$101 &gt;= F$8) + ('HR Database (optional)'!$H$3:$H$101 = "") &gt; 0 ),
  --('HR Database (optional)'!$F$3:$F$101 = "Middle Manager"))</f>
        <v>6</v>
      </c>
      <c r="G23" s="165"/>
    </row>
    <row r="24" spans="1:7" outlineLevel="1">
      <c r="A24" s="175" t="s">
        <v>182</v>
      </c>
      <c r="B24" s="97" t="s">
        <v>183</v>
      </c>
      <c r="C24" s="81" cm="1">
        <f t="array" ref="C24">SUMPRODUCT(
  --(LEN(TRIM('HR Database (optional)'!$G$3:$G$101)) &gt; 0),
  --('HR Database (optional)'!$G$3:$G$101 &lt;= C$8),
  --( ('HR Database (optional)'!$H$3:$H$101 &gt;= C$8) + ('HR Database (optional)'!$H$3:$H$101 = "") &gt; 0 ), --(TRIM('HR Database (optional)'!$D$3:$D$101) = "Woman"),
  --('HR Database (optional)'!$F$3:$F$101 = "Non-Managerial Staff")
)</f>
        <v>2</v>
      </c>
      <c r="D24" s="81" cm="1">
        <f t="array" ref="D24">SUMPRODUCT(
  --(LEN(TRIM('HR Database (optional)'!$G$3:$G$101)) &gt; 0),
  --('HR Database (optional)'!$G$3:$G$101 &lt;= D$8),
  --( ('HR Database (optional)'!$H$3:$H$101 &gt;= D$8) + ('HR Database (optional)'!$H$3:$H$101 = "") &gt; 0 ), --(TRIM('HR Database (optional)'!$D$3:$D$101) = "Woman"),
  --('HR Database (optional)'!$F$3:$F$101 = "Non-Managerial Staff")
)</f>
        <v>2</v>
      </c>
      <c r="E24" s="81" cm="1">
        <f t="array" ref="E24">SUMPRODUCT(
  --(LEN(TRIM('HR Database (optional)'!$G$3:$G$101)) &gt; 0),
  --('HR Database (optional)'!$G$3:$G$101 &lt;= E$8),
  --( ('HR Database (optional)'!$H$3:$H$101 &gt;= E$8) + ('HR Database (optional)'!$H$3:$H$101 = "") &gt; 0 ), --(TRIM('HR Database (optional)'!$D$3:$D$101) = "Woman"),
  --('HR Database (optional)'!$F$3:$F$101 = "Non-Managerial Staff")
)</f>
        <v>2</v>
      </c>
      <c r="F24" s="81" cm="1">
        <f t="array" ref="F24">SUMPRODUCT(
  --(LEN(TRIM('HR Database (optional)'!$G$3:$G$101)) &gt; 0),
  --('HR Database (optional)'!$G$3:$G$101 &lt;= F$8),
  --( ('HR Database (optional)'!$H$3:$H$101 &gt;= F$8) + ('HR Database (optional)'!$H$3:$H$101 = "") &gt; 0 ), --(TRIM('HR Database (optional)'!$D$3:$D$101) = "Woman"),
  --('HR Database (optional)'!$F$3:$F$101 = "Non-Managerial Staff")
)</f>
        <v>1</v>
      </c>
      <c r="G24" s="165"/>
    </row>
    <row r="25" spans="1:7" outlineLevel="1">
      <c r="A25" s="175" t="s">
        <v>184</v>
      </c>
      <c r="B25" s="97" t="s">
        <v>185</v>
      </c>
      <c r="C25" s="81" cm="1">
        <f t="array" ref="C25">SUMPRODUCT(
  --(LEN(TRIM('HR Database (optional)'!$G$3:$G$101)) &gt; 0),
  --('HR Database (optional)'!$G$3:$G$101 &lt;= C$8),
  --( ('HR Database (optional)'!$H$3:$H$101 &gt;= C$8) + ('HR Database (optional)'!$H$3:$H$101 = "") &gt; 0 ),
  --('HR Database (optional)'!$F$3:$F$101 = "Non-Managerial Staff"))</f>
        <v>4</v>
      </c>
      <c r="D25" s="81" cm="1">
        <f t="array" ref="D25">SUMPRODUCT(
  --(LEN(TRIM('HR Database (optional)'!$G$3:$G$101)) &gt; 0),
  --('HR Database (optional)'!$G$3:$G$101 &lt;= D$8),
  --( ('HR Database (optional)'!$H$3:$H$101 &gt;= D$8) + ('HR Database (optional)'!$H$3:$H$101 = "") &gt; 0 ),
  --('HR Database (optional)'!$F$3:$F$101 = "Non-Managerial Staff"))</f>
        <v>4</v>
      </c>
      <c r="E25" s="81" cm="1">
        <f t="array" ref="E25">SUMPRODUCT(
  --(LEN(TRIM('HR Database (optional)'!$G$3:$G$101)) &gt; 0),
  --('HR Database (optional)'!$G$3:$G$101 &lt;= E$8),
  --( ('HR Database (optional)'!$H$3:$H$101 &gt;= E$8) + ('HR Database (optional)'!$H$3:$H$101 = "") &gt; 0 ),
  --('HR Database (optional)'!$F$3:$F$101 = "Non-Managerial Staff"))</f>
        <v>5</v>
      </c>
      <c r="F25" s="81" cm="1">
        <f t="array" ref="F25">SUMPRODUCT(
  --(LEN(TRIM('HR Database (optional)'!$G$3:$G$101)) &gt; 0),
  --('HR Database (optional)'!$G$3:$G$101 &lt;= F$8),
  --( ('HR Database (optional)'!$H$3:$H$101 &gt;= F$8) + ('HR Database (optional)'!$H$3:$H$101 = "") &gt; 0 ),
  --('HR Database (optional)'!$F$3:$F$101 = "Non-Managerial Staff"))</f>
        <v>4</v>
      </c>
      <c r="G25" s="165"/>
    </row>
    <row r="26" spans="1:7" outlineLevel="1">
      <c r="A26" s="175" t="s">
        <v>186</v>
      </c>
      <c r="B26" s="97" t="s">
        <v>187</v>
      </c>
      <c r="C26" s="81" cm="1">
        <f t="array" ref="C26">SUMPRODUCT(
  --(LEN(TRIM('HR Database (optional)'!$G$3:$G$101)) &gt; 0),
  --('HR Database (optional)'!$G$3:$G$101 &lt;= C$8),
  --( ('HR Database (optional)'!$H$3:$H$101 &gt;= C$8) + ('HR Database (optional)'!$H$3:$H$101 = "") &gt; 0 ), --(TRIM('HR Database (optional)'!$D$3:$D$101) = "Woman"),
  --('HR Database (optional)'!$F$3:$F$101 = "Loan Officer")
)</f>
        <v>1</v>
      </c>
      <c r="D26" s="81" cm="1">
        <f t="array" ref="D26">SUMPRODUCT(
  --(LEN(TRIM('HR Database (optional)'!$G$3:$G$101)) &gt; 0),
  --('HR Database (optional)'!$G$3:$G$101 &lt;= D$8),
  --( ('HR Database (optional)'!$H$3:$H$101 &gt;= D$8) + ('HR Database (optional)'!$H$3:$H$101 = "") &gt; 0 ), --(TRIM('HR Database (optional)'!$D$3:$D$101) = "Woman"),
  --('HR Database (optional)'!$F$3:$F$101 = "Loan Officer")
)</f>
        <v>2</v>
      </c>
      <c r="E26" s="81" cm="1">
        <f t="array" ref="E26">SUMPRODUCT(
  --(LEN(TRIM('HR Database (optional)'!$G$3:$G$101)) &gt; 0),
  --('HR Database (optional)'!$G$3:$G$101 &lt;= E$8),
  --( ('HR Database (optional)'!$H$3:$H$101 &gt;= E$8) + ('HR Database (optional)'!$H$3:$H$101 = "") &gt; 0 ), --(TRIM('HR Database (optional)'!$D$3:$D$101) = "Woman"),
  --('HR Database (optional)'!$F$3:$F$101 = "Loan Officer")
)</f>
        <v>1</v>
      </c>
      <c r="F26" s="81" cm="1">
        <f t="array" ref="F26">SUMPRODUCT(
  --(LEN(TRIM('HR Database (optional)'!$G$3:$G$101)) &gt; 0),
  --('HR Database (optional)'!$G$3:$G$101 &lt;= F$8),
  --( ('HR Database (optional)'!$H$3:$H$101 &gt;= F$8) + ('HR Database (optional)'!$H$3:$H$101 = "") &gt; 0 ), --(TRIM('HR Database (optional)'!$D$3:$D$101) = "Woman"),
  --('HR Database (optional)'!$F$3:$F$101 = "Loan Officer")
)</f>
        <v>1</v>
      </c>
      <c r="G26" s="165"/>
    </row>
    <row r="27" spans="1:7" outlineLevel="1">
      <c r="A27" s="175" t="s">
        <v>188</v>
      </c>
      <c r="B27" s="97" t="s">
        <v>189</v>
      </c>
      <c r="C27" s="81" cm="1">
        <f t="array" ref="C27">SUMPRODUCT(
  --(LEN(TRIM('HR Database (optional)'!$G$3:$G$101)) &gt; 0),
  --('HR Database (optional)'!$G$3:$G$101 &lt;= C$8),
  --( ('HR Database (optional)'!$H$3:$H$101 &gt;= C$8) + ('HR Database (optional)'!$H$3:$H$101 = "") &gt; 0 ),
  --('HR Database (optional)'!$F$3:$F$101 = "Loan Officer"))</f>
        <v>2</v>
      </c>
      <c r="D27" s="81" cm="1">
        <f t="array" ref="D27">SUMPRODUCT(
  --(LEN(TRIM('HR Database (optional)'!$G$3:$G$101)) &gt; 0),
  --('HR Database (optional)'!$G$3:$G$101 &lt;= D$8),
  --( ('HR Database (optional)'!$H$3:$H$101 &gt;= D$8) + ('HR Database (optional)'!$H$3:$H$101 = "") &gt; 0 ),
  --('HR Database (optional)'!$F$3:$F$101 = "Loan Officer"))</f>
        <v>4</v>
      </c>
      <c r="E27" s="81" cm="1">
        <f t="array" ref="E27">SUMPRODUCT(
  --(LEN(TRIM('HR Database (optional)'!$G$3:$G$101)) &gt; 0),
  --('HR Database (optional)'!$G$3:$G$101 &lt;= E$8),
  --( ('HR Database (optional)'!$H$3:$H$101 &gt;= E$8) + ('HR Database (optional)'!$H$3:$H$101 = "") &gt; 0 ),
  --('HR Database (optional)'!$F$3:$F$101 = "Loan Officer"))</f>
        <v>3</v>
      </c>
      <c r="F27" s="81" cm="1">
        <f t="array" ref="F27">SUMPRODUCT(
  --(LEN(TRIM('HR Database (optional)'!$G$3:$G$101)) &gt; 0),
  --('HR Database (optional)'!$G$3:$G$101 &lt;= F$8),
  --( ('HR Database (optional)'!$H$3:$H$101 &gt;= F$8) + ('HR Database (optional)'!$H$3:$H$101 = "") &gt; 0 ),
  --('HR Database (optional)'!$F$3:$F$101 = "Loan Officer"))</f>
        <v>1</v>
      </c>
      <c r="G27" s="165"/>
    </row>
    <row r="28" spans="1:7" outlineLevel="1">
      <c r="A28" s="175" t="s">
        <v>190</v>
      </c>
      <c r="B28" s="97" t="s">
        <v>191</v>
      </c>
      <c r="C28" s="81" cm="1">
        <f t="array" ref="C28">SUMPRODUCT(
  --(LEN(TRIM('HR Database (optional)'!$G$3:$G$101)) &gt; 0),
  --('HR Database (optional)'!$G$3:$G$101 &lt;= C$8),
  --( ('HR Database (optional)'!$H$3:$H$101 &gt;= C$8) + ('HR Database (optional)'!$H$3:$H$101 = "") &gt; 0 ), --(TRIM('HR Database (optional)'!$D$3:$D$101) = "Woman"),
  --(('HR Database (optional)'!$F$3:$F$101 = "Manager")+ (TRIM('HR Database (optional)'!$F$3:$F$101) = "Senior Manager")+(TRIM('HR Database (optional)'!$F$3:$F$101) = "Loan Officer") &gt; 0 )
)</f>
        <v>3</v>
      </c>
      <c r="D28" s="81" cm="1">
        <f t="array" ref="D28">SUMPRODUCT(
  --(LEN(TRIM('HR Database (optional)'!$G$3:$G$101)) &gt; 0),
  --('HR Database (optional)'!$G$3:$G$101 &lt;= D$8),
  --( ('HR Database (optional)'!$H$3:$H$101 &gt;= D$8) + ('HR Database (optional)'!$H$3:$H$101 = "") &gt; 0 ), --(TRIM('HR Database (optional)'!$D$3:$D$101) = "Woman"),
  --(('HR Database (optional)'!$F$3:$F$101 = "Manager")+ (TRIM('HR Database (optional)'!$F$3:$F$101) = "Senior Manager")+(TRIM('HR Database (optional)'!$F$3:$F$101) = "Loan Officer") &gt; 0 )
)</f>
        <v>4</v>
      </c>
      <c r="E28" s="81" cm="1">
        <f t="array" ref="E28">SUMPRODUCT(
  --(LEN(TRIM('HR Database (optional)'!$G$3:$G$101)) &gt; 0),
  --('HR Database (optional)'!$G$3:$G$101 &lt;= E$8),
  --( ('HR Database (optional)'!$H$3:$H$101 &gt;= E$8) + ('HR Database (optional)'!$H$3:$H$101 = "") &gt; 0 ), --(TRIM('HR Database (optional)'!$D$3:$D$101) = "Woman"),
  --(('HR Database (optional)'!$F$3:$F$101 = "Manager")+ (TRIM('HR Database (optional)'!$F$3:$F$101) = "Senior Manager")+(TRIM('HR Database (optional)'!$F$3:$F$101) = "Loan Officer") &gt; 0 )
)</f>
        <v>2</v>
      </c>
      <c r="F28" s="81" cm="1">
        <f t="array" ref="F28">SUMPRODUCT(
  --(LEN(TRIM('HR Database (optional)'!$G$3:$G$101)) &gt; 0),
  --('HR Database (optional)'!$G$3:$G$101 &lt;= F$8),
  --( ('HR Database (optional)'!$H$3:$H$101 &gt;= F$8) + ('HR Database (optional)'!$H$3:$H$101 = "") &gt; 0 ), --(TRIM('HR Database (optional)'!$D$3:$D$101) = "Woman"),
  --(('HR Database (optional)'!$F$3:$F$101 = "Manager")+ (TRIM('HR Database (optional)'!$F$3:$F$101) = "Senior Manager")+(TRIM('HR Database (optional)'!$F$3:$F$101) = "Loan Officer") &gt; 0 )
)</f>
        <v>2</v>
      </c>
      <c r="G28" s="165"/>
    </row>
    <row r="29" spans="1:7" outlineLevel="1">
      <c r="A29" s="175" t="s">
        <v>192</v>
      </c>
      <c r="B29" s="97" t="s">
        <v>193</v>
      </c>
      <c r="C29" s="81" cm="1">
        <f t="array" ref="C29">SUMPRODUCT(
  --(LEN(TRIM('HR Database (optional)'!$G$3:$G$101)) &gt; 0),
  --('HR Database (optional)'!$G$3:$G$101 &lt;= C$8),
  --( ('HR Database (optional)'!$H$3:$H$101 &gt;= C$8) + ('HR Database (optional)'!$H$3:$H$101 = "") &gt; 0 ),
  --(('HR Database (optional)'!$F$3:$F$101 = "Executive team")+ (TRIM('HR Database (optional)'!$F$3:$F$101) = "Senior Manager")+ (TRIM('HR Database (optional)'!$F$3:$F$101) = "Loan Officer") &gt; 0 )
)</f>
        <v>10</v>
      </c>
      <c r="D29" s="81" cm="1">
        <f t="array" ref="D29">SUMPRODUCT(
  --(LEN(TRIM('HR Database (optional)'!$G$3:$G$101)) &gt; 0),
  --('HR Database (optional)'!$G$3:$G$101 &lt;= D$8),
  --( ('HR Database (optional)'!$H$3:$H$101 &gt;= D$8) + ('HR Database (optional)'!$H$3:$H$101 = "") &gt; 0 ),
  --(('HR Database (optional)'!$F$3:$F$101 = "Executive team")+ (TRIM('HR Database (optional)'!$F$3:$F$101) = "Senior Manager")+ (TRIM('HR Database (optional)'!$F$3:$F$101) = "Loan Officer") &gt; 0 )
)</f>
        <v>13</v>
      </c>
      <c r="E29" s="81" cm="1">
        <f t="array" ref="E29">SUMPRODUCT(
  --(LEN(TRIM('HR Database (optional)'!$G$3:$G$101)) &gt; 0),
  --('HR Database (optional)'!$G$3:$G$101 &lt;= E$8),
  --( ('HR Database (optional)'!$H$3:$H$101 &gt;= E$8) + ('HR Database (optional)'!$H$3:$H$101 = "") &gt; 0 ),
  --(('HR Database (optional)'!$F$3:$F$101 = "Executive team")+ (TRIM('HR Database (optional)'!$F$3:$F$101) = "Senior Manager")+ (TRIM('HR Database (optional)'!$F$3:$F$101) = "Loan Officer") &gt; 0 )
)</f>
        <v>11</v>
      </c>
      <c r="F29" s="81" cm="1">
        <f t="array" ref="F29">SUMPRODUCT(
  --(LEN(TRIM('HR Database (optional)'!$G$3:$G$101)) &gt; 0),
  --('HR Database (optional)'!$G$3:$G$101 &lt;= F$8),
  --( ('HR Database (optional)'!$H$3:$H$101 &gt;= F$8) + ('HR Database (optional)'!$H$3:$H$101 = "") &gt; 0 ),
  --(('HR Database (optional)'!$F$3:$F$101 = "Executive team")+ (TRIM('HR Database (optional)'!$F$3:$F$101) = "Senior Manager")+ (TRIM('HR Database (optional)'!$F$3:$F$101) = "Loan Officer") &gt; 0 )
)</f>
        <v>9</v>
      </c>
      <c r="G29" s="165"/>
    </row>
    <row r="30" spans="1:7" outlineLevel="1">
      <c r="A30" s="175" t="s">
        <v>194</v>
      </c>
      <c r="B30" s="97" t="s">
        <v>195</v>
      </c>
      <c r="C30" s="81">
        <f>COUNTIFS( 'HR Database (optional)'!$D$3:$D$101, "woman", 'HR Database (optional)'!$G$3:$G$101, "&gt;" &amp; EDATE(C$8, -12), 'HR Database (optional)'!$G$3:$G$101, "&lt;=" &amp; C$8 )</f>
        <v>2</v>
      </c>
      <c r="D30" s="81">
        <f>COUNTIFS( 'HR Database (optional)'!$D$3:$D$101, "woman", 'HR Database (optional)'!$G$3:$G$101, "&gt;" &amp; EDATE(D$8, -12), 'HR Database (optional)'!$G$3:$G$101, "&lt;=" &amp; D$8 )</f>
        <v>3</v>
      </c>
      <c r="E30" s="81">
        <f>COUNTIFS( 'HR Database (optional)'!$D$3:$D$101, "woman", 'HR Database (optional)'!$G$3:$G$101, "&gt;" &amp; EDATE(E$8, -12), 'HR Database (optional)'!$G$3:$G$101, "&lt;=" &amp; E$8 )</f>
        <v>0</v>
      </c>
      <c r="F30" s="81">
        <f>COUNTIFS( 'HR Database (optional)'!$D$3:$D$101, "woman", 'HR Database (optional)'!$G$3:$G$101, "&gt;" &amp; EDATE(F$8, -12), 'HR Database (optional)'!$G$3:$G$101, "&lt;=" &amp; F$8 )</f>
        <v>0</v>
      </c>
      <c r="G30" s="165"/>
    </row>
    <row r="31" spans="1:7" outlineLevel="1">
      <c r="A31" s="175" t="s">
        <v>196</v>
      </c>
      <c r="B31" s="97" t="s">
        <v>197</v>
      </c>
      <c r="C31" s="81">
        <f>COUNTIFS( 'HR Database (optional)'!$D$3:$D$101, "man", 'HR Database (optional)'!$G$3:$G$101, "&gt;" &amp; EDATE(C$8, -12), 'HR Database (optional)'!$G$3:$G$101, "&lt;=" &amp; C$8 )</f>
        <v>5</v>
      </c>
      <c r="D31" s="81">
        <f>COUNTIFS( 'HR Database (optional)'!$D$3:$D$101, "man", 'HR Database (optional)'!$G$3:$G$101, "&gt;" &amp; EDATE(D$8, -12), 'HR Database (optional)'!$G$3:$G$101, "&lt;=" &amp; D$8 )</f>
        <v>3</v>
      </c>
      <c r="E31" s="81">
        <f>COUNTIFS( 'HR Database (optional)'!$D$3:$D$101, "man", 'HR Database (optional)'!$G$3:$G$101, "&gt;" &amp; EDATE(E$8, -12), 'HR Database (optional)'!$G$3:$G$101, "&lt;=" &amp; E$8 )</f>
        <v>1</v>
      </c>
      <c r="F31" s="81">
        <f>COUNTIFS( 'HR Database (optional)'!$D$3:$D$101, "man", 'HR Database (optional)'!$G$3:$G$101, "&gt;" &amp; EDATE(F$8, -12), 'HR Database (optional)'!$G$3:$G$101, "&lt;=" &amp; F$8 )</f>
        <v>0</v>
      </c>
      <c r="G31" s="165"/>
    </row>
    <row r="32" spans="1:7" outlineLevel="1">
      <c r="A32" s="175" t="s">
        <v>198</v>
      </c>
      <c r="B32" s="97" t="s">
        <v>199</v>
      </c>
      <c r="C32" s="81" cm="1">
        <f t="array" ref="C32">SUMPRODUCT(
  --(LEN(TRIM('HR Database (optional)'!$G$3:$G$101)) &gt; 0),
  --('HR Database (optional)'!$G$3:$G$101 &gt; EDATE(C$8, -12)),
  --('HR Database (optional)'!$G$3:$G$101 &lt;= C$8),
  --( ('HR Database (optional)'!$H$3:$H$101 &gt;= C$8) + ('HR Database (optional)'!$H$3:$H$101 = "") &gt; 0 ),
  --(TRIM(LOWER('HR Database (optional)'!$D$3:$D$101)) = "woman"),
  --(TRIM('HR Database (optional)'!$F$3:$F$101) = "Loan Officer")
)</f>
        <v>1</v>
      </c>
      <c r="D32" s="81" cm="1">
        <f t="array" ref="D32">SUMPRODUCT(
  --(LEN(TRIM('HR Database (optional)'!$G$3:$G$101)) &gt; 0),
  --('HR Database (optional)'!$G$3:$G$101 &gt; EDATE(D$8, -12)),
  --('HR Database (optional)'!$G$3:$G$101 &lt;= D$8),
  --( ('HR Database (optional)'!$H$3:$H$101 &gt;= D$8) + ('HR Database (optional)'!$H$3:$H$101 = "") &gt; 0 ),
  --(TRIM(LOWER('HR Database (optional)'!$D$3:$D$101)) = "woman"),
  --(TRIM('HR Database (optional)'!$F$3:$F$101) = "Loan Officer")
)</f>
        <v>1</v>
      </c>
      <c r="E32" s="81" cm="1">
        <f t="array" ref="E32">SUMPRODUCT(
  --(LEN(TRIM('HR Database (optional)'!$G$3:$G$101)) &gt; 0),
  --('HR Database (optional)'!$G$3:$G$101 &gt; EDATE(E$8, -12)),
  --('HR Database (optional)'!$G$3:$G$101 &lt;= E$8),
  --( ('HR Database (optional)'!$H$3:$H$101 &gt;= E$8) + ('HR Database (optional)'!$H$3:$H$101 = "") &gt; 0 ),
  --(TRIM(LOWER('HR Database (optional)'!$D$3:$D$101)) = "woman"),
  --(TRIM('HR Database (optional)'!$F$3:$F$101) = "Loan Officer")
)</f>
        <v>0</v>
      </c>
      <c r="F32" s="81" cm="1">
        <f t="array" ref="F32">SUMPRODUCT(
  --(LEN(TRIM('HR Database (optional)'!$G$3:$G$101)) &gt; 0),
  --('HR Database (optional)'!$G$3:$G$101 &gt; EDATE(F$8, -12)),
  --('HR Database (optional)'!$G$3:$G$101 &lt;= F$8),
  --( ('HR Database (optional)'!$H$3:$H$101 &gt;= F$8) + ('HR Database (optional)'!$H$3:$H$101 = "") &gt; 0 ),
  --(TRIM(LOWER('HR Database (optional)'!$D$3:$D$101)) = "woman"),
  --(TRIM('HR Database (optional)'!$F$3:$F$101) = "Loan Officer")
)</f>
        <v>0</v>
      </c>
      <c r="G32" s="165"/>
    </row>
    <row r="33" spans="1:8" outlineLevel="1">
      <c r="A33" s="175" t="s">
        <v>200</v>
      </c>
      <c r="B33" s="97" t="s">
        <v>201</v>
      </c>
      <c r="C33" s="81" cm="1">
        <f t="array" ref="C33">SUMPRODUCT(
  --(LEN(TRIM('HR Database (optional)'!$G$3:$G$101)) &gt; 0),
  --('HR Database (optional)'!$G$3:$G$101 &gt; EDATE(C$8, -12)),
  --('HR Database (optional)'!$G$3:$G$101 &lt;= C$8),
  --( ('HR Database (optional)'!$H$3:$H$101 &gt;= C$8) + ('HR Database (optional)'!$H$3:$H$101 = "") &gt; 0 ),
  --(TRIM('HR Database (optional)'!$F$3:$F$101) = "Loan Officer")
)</f>
        <v>2</v>
      </c>
      <c r="D33" s="81" cm="1">
        <f t="array" ref="D33">SUMPRODUCT(
  --(LEN(TRIM('HR Database (optional)'!$G$3:$G$101)) &gt; 0),
  --('HR Database (optional)'!$G$3:$G$101 &gt; EDATE(D$8, -12)),
  --('HR Database (optional)'!$G$3:$G$101 &lt;= D$8),
  --( ('HR Database (optional)'!$H$3:$H$101 &gt;= D$8) + ('HR Database (optional)'!$H$3:$H$101 = "") &gt; 0 ),
  --(TRIM('HR Database (optional)'!$F$3:$F$101) = "Loan Officer")
)</f>
        <v>2</v>
      </c>
      <c r="E33" s="81" cm="1">
        <f t="array" ref="E33">SUMPRODUCT(
  --(LEN(TRIM('HR Database (optional)'!$G$3:$G$101)) &gt; 0),
  --('HR Database (optional)'!$G$3:$G$101 &gt; EDATE(E$8, -12)),
  --('HR Database (optional)'!$G$3:$G$101 &lt;= E$8),
  --( ('HR Database (optional)'!$H$3:$H$101 &gt;= E$8) + ('HR Database (optional)'!$H$3:$H$101 = "") &gt; 0 ),
  --(TRIM('HR Database (optional)'!$F$3:$F$101) = "Loan Officer")
)</f>
        <v>0</v>
      </c>
      <c r="F33" s="81" cm="1">
        <f t="array" ref="F33">SUMPRODUCT(
  --(LEN(TRIM('HR Database (optional)'!$G$3:$G$101)) &gt; 0),
  --('HR Database (optional)'!$G$3:$G$101 &gt; EDATE(F$8, -12)),
  --('HR Database (optional)'!$G$3:$G$101 &lt;= F$8),
  --( ('HR Database (optional)'!$H$3:$H$101 &gt;= F$8) + ('HR Database (optional)'!$H$3:$H$101 = "") &gt; 0 ),
  --(TRIM('HR Database (optional)'!$F$3:$F$101) = "Loan Officer")
)</f>
        <v>0</v>
      </c>
      <c r="G33" s="165"/>
    </row>
    <row r="34" spans="1:8">
      <c r="A34" s="178" t="s">
        <v>202</v>
      </c>
      <c r="B34" s="91" t="s">
        <v>203</v>
      </c>
      <c r="C34" s="82"/>
      <c r="D34" s="82"/>
      <c r="E34" s="82"/>
      <c r="F34" s="365"/>
      <c r="G34" s="166"/>
    </row>
    <row r="35" spans="1:8" outlineLevel="1">
      <c r="A35" s="175" t="s">
        <v>204</v>
      </c>
      <c r="B35" s="97" t="s">
        <v>205</v>
      </c>
      <c r="C35" s="81" cm="1">
        <f t="array" ref="C35">MEDIAN( IF( ('HR Database (optional)'!$F$3:$F$101 = "Senior Manager") * (TRIM(LOWER('HR Database (optional)'!$D$3:$D$101)) = "Woman") * ( ('HR Database (optional)'!$H$3:$H$101 = "") + ('HR Database (optional)'!$H$3:$H$101 &gt; C$8) &gt; 0 ), 'HR Database (optional)'!$J$3:$J$101 ) )</f>
        <v>3750</v>
      </c>
      <c r="D35" s="81" cm="1">
        <f t="array" ref="D35">MEDIAN( IF( ('HR Database (optional)'!$F$3:$F$101 = "Senior Manager") * (TRIM(LOWER('HR Database (optional)'!$D$3:$D$101)) = "Woman") * ( ('HR Database (optional)'!$H$3:$H$101 = "") + ('HR Database (optional)'!$H$3:$H$101 &gt; D$8) &gt; 0 ), 'HR Database (optional)'!$J$3:$J$101 ) )</f>
        <v>3750</v>
      </c>
      <c r="E35" s="81" cm="1">
        <f t="array" ref="E35">MEDIAN( IF( ('HR Database (optional)'!$F$3:$F$101 = "Senior Manager") * (TRIM(LOWER('HR Database (optional)'!$D$3:$D$101)) = "Woman") * ( ('HR Database (optional)'!$H$3:$H$101 = "") + ('HR Database (optional)'!$H$3:$H$101 &gt; E$8) &gt; 0 ), 'HR Database (optional)'!$J$3:$J$101 ) )</f>
        <v>7000</v>
      </c>
      <c r="F35" s="81" cm="1">
        <f t="array" ref="F35">MEDIAN( IF( ('HR Database (optional)'!$F$3:$F$101 = "Senior Manager") * (TRIM(LOWER('HR Database (optional)'!$D$3:$D$101)) = "Woman") * ( ('HR Database (optional)'!$H$3:$H$101 = "") + ('HR Database (optional)'!$H$3:$H$101 &gt; F$8) &gt; 0 ), 'HR Database (optional)'!$J$3:$J$101 ) )</f>
        <v>7000</v>
      </c>
      <c r="G35" s="165"/>
    </row>
    <row r="36" spans="1:8" outlineLevel="1">
      <c r="A36" s="175" t="s">
        <v>206</v>
      </c>
      <c r="B36" s="97" t="s">
        <v>207</v>
      </c>
      <c r="C36" s="81" cm="1">
        <f t="array" ref="C36">MEDIAN( IF( ('HR Database (optional)'!$F$3:$F$101 = "Senior Manager") * (TRIM(LOWER('HR Database (optional)'!$D$3:$D$101)) = "man") * ( ('HR Database (optional)'!$H$3:$H$101 = "") + ('HR Database (optional)'!$H$3:$H$101 &gt; C$8) &gt; 0 ), 'HR Database (optional)'!$J$3:$J$101 ) )</f>
        <v>4000</v>
      </c>
      <c r="D36" s="81" cm="1">
        <f t="array" ref="D36">MEDIAN( IF( ('HR Database (optional)'!$F$3:$F$101 = "Senior Manager") * (TRIM(LOWER('HR Database (optional)'!$D$3:$D$101)) = "man") * ( ('HR Database (optional)'!$H$3:$H$101 = "") + ('HR Database (optional)'!$H$3:$H$101 &gt; D$8) &gt; 0 ), 'HR Database (optional)'!$J$3:$J$101 ) )</f>
        <v>4000</v>
      </c>
      <c r="E36" s="81" cm="1">
        <f t="array" ref="E36">MEDIAN( IF( ('HR Database (optional)'!$F$3:$F$101 = "Senior Manager") * (TRIM(LOWER('HR Database (optional)'!$D$3:$D$101)) = "man") * ( ('HR Database (optional)'!$H$3:$H$101 = "") + ('HR Database (optional)'!$H$3:$H$101 &gt; E$8) &gt; 0 ), 'HR Database (optional)'!$J$3:$J$101 ) )</f>
        <v>4000</v>
      </c>
      <c r="F36" s="81" cm="1">
        <f t="array" ref="F36">MEDIAN( IF( ('HR Database (optional)'!$F$3:$F$101 = "Senior Manager") * (TRIM(LOWER('HR Database (optional)'!$D$3:$D$101)) = "man") * ( ('HR Database (optional)'!$H$3:$H$101 = "") + ('HR Database (optional)'!$H$3:$H$101 &gt; F$8) &gt; 0 ), 'HR Database (optional)'!$J$3:$J$101 ) )</f>
        <v>4000</v>
      </c>
      <c r="G36" s="165"/>
    </row>
    <row r="37" spans="1:8" outlineLevel="1">
      <c r="A37" s="175" t="s">
        <v>208</v>
      </c>
      <c r="B37" s="97" t="s">
        <v>209</v>
      </c>
      <c r="C37" s="81" cm="1">
        <f t="array" ref="C37">MEDIAN(IF(( ('HR Database (optional)'!$F$3:$F$101 = "Middle Manager") * (TRIM(LOWER('HR Database (optional)'!$D$3:$D$101)) = "woman") *
      ( ('HR Database (optional)'!$H$3:$H$101 = "") + ('HR Database (optional)'!$H$3:$H$101 &gt; C$8) &gt; 0 )),'HR Database (optional)'!$J$3:$J$101))</f>
        <v>2000</v>
      </c>
      <c r="D37" s="81" cm="1">
        <f t="array" ref="D37">MEDIAN(IF(
    (TRIM(LOWER('HR Database (optional)'!$F$3:$F$101)) = "Middle manager") *
    (TRIM(LOWER('HR Database (optional)'!$D$3:$D$101)) = "woman") *
    ( ('HR Database (optional)'!$H$3:$H$101 = "") + ('HR Database (optional)'!$H$3:$H$101 &gt; D$8) &gt; 0 ),
    'HR Database (optional)'!$J$3:$J$101))</f>
        <v>2000</v>
      </c>
      <c r="E37" s="81" cm="1">
        <f t="array" ref="E37">MEDIAN( IF( ('HR Database (optional)'!$F$3:$F$101 = "Middle Manager") * (TRIM(LOWER('HR Database (optional)'!$D$3:$D$101)) = "Woman") * ( ('HR Database (optional)'!$H$3:$H$101 = "") + ('HR Database (optional)'!$H$3:$H$101 &gt; E$8) &gt; 0 ), 'HR Database (optional)'!$J$3:$J$101 ) )</f>
        <v>2000</v>
      </c>
      <c r="F37" s="81" cm="1">
        <f t="array" ref="F37">MEDIAN( IF( ('HR Database (optional)'!$F$3:$F$101 = "Middle Manager") * (TRIM(LOWER('HR Database (optional)'!$D$3:$D$101)) = "Woman") * ( ('HR Database (optional)'!$H$3:$H$101 = "") + ('HR Database (optional)'!$H$3:$H$101 &gt; F$8) &gt; 0 ), 'HR Database (optional)'!$J$3:$J$101 ) )</f>
        <v>2000</v>
      </c>
      <c r="G37" s="165"/>
    </row>
    <row r="38" spans="1:8" outlineLevel="1">
      <c r="A38" s="175" t="s">
        <v>210</v>
      </c>
      <c r="B38" s="97" t="s">
        <v>211</v>
      </c>
      <c r="C38" s="81" cm="1">
        <f t="array" ref="C38">MEDIAN( IF( ('HR Database (optional)'!$F$3:$F$101 = "Middle Manager") * (TRIM(LOWER('HR Database (optional)'!$D$3:$D$101)) = "man") * ( ('HR Database (optional)'!$H$3:$H$101 = "") + ('HR Database (optional)'!$H$3:$H$101 &gt; C$8) &gt; 0 ), 'HR Database (optional)'!$J$3:$J$101 ) )</f>
        <v>5000</v>
      </c>
      <c r="D38" s="81" cm="1">
        <f t="array" ref="D38">MEDIAN( IF( ('HR Database (optional)'!$F$3:$F$101 = "Middle Manager") * (TRIM(LOWER('HR Database (optional)'!$D$3:$D$101)) = "man") * ( ('HR Database (optional)'!$H$3:$H$101 = "") + ('HR Database (optional)'!$H$3:$H$101 &gt; D$8) &gt; 0 ), 'HR Database (optional)'!$J$3:$J$101 ) )</f>
        <v>6000</v>
      </c>
      <c r="E38" s="81" cm="1">
        <f t="array" ref="E38">MEDIAN( IF( ('HR Database (optional)'!$F$3:$F$101 = "Middle Manager") * (TRIM(LOWER('HR Database (optional)'!$D$3:$D$101)) = "man") * ( ('HR Database (optional)'!$H$3:$H$101 = "") + ('HR Database (optional)'!$H$3:$H$101 &gt; E$8) &gt; 0 ), 'HR Database (optional)'!$J$3:$J$101 ) )</f>
        <v>6000</v>
      </c>
      <c r="F38" s="81" cm="1">
        <f t="array" ref="F38">MEDIAN( IF( ('HR Database (optional)'!$F$3:$F$101 = "Middle Manager") * (TRIM(LOWER('HR Database (optional)'!$D$3:$D$101)) = "man") * ( ('HR Database (optional)'!$H$3:$H$101 = "") + ('HR Database (optional)'!$H$3:$H$101 &gt; F$8) &gt; 0 ), 'HR Database (optional)'!$J$3:$J$101 ) )</f>
        <v>5000</v>
      </c>
      <c r="G38" s="165"/>
    </row>
    <row r="39" spans="1:8" outlineLevel="1">
      <c r="A39" s="175" t="s">
        <v>212</v>
      </c>
      <c r="B39" s="97" t="s">
        <v>213</v>
      </c>
      <c r="C39" s="81" cm="1">
        <f t="array" ref="C39">MEDIAN( IF( ('HR Database (optional)'!$F$3:$F$101 = "Non-Managerial Staff") * (TRIM(LOWER('HR Database (optional)'!$D$3:$D$101)) = "Woman") * ( ('HR Database (optional)'!$H$3:$H$101 = "") + ('HR Database (optional)'!$H$3:$H$101 &gt; C$8) &gt; 0 ), 'HR Database (optional)'!$J$3:$J$101 ) )</f>
        <v>900</v>
      </c>
      <c r="D39" s="81" cm="1">
        <f t="array" ref="D39">MEDIAN(IF(
    (TRIM(LOWER('HR Database (optional)'!$F$3:$F$101)) = "Non-Managerial Staff") *
    (TRIM(LOWER('HR Database (optional)'!$D$3:$D$101)) = "woman") *
    ( ('HR Database (optional)'!$H$3:$H$101 = "") + ('HR Database (optional)'!$H$3:$H$101 &gt; D$8) &gt; 0 ),
    'HR Database (optional)'!$J$3:$J$101))</f>
        <v>900</v>
      </c>
      <c r="E39" s="81" cm="1">
        <f t="array" ref="E39">MEDIAN( IF( ('HR Database (optional)'!$F$3:$F$101 = "Non-Managerial Staff") * (TRIM(LOWER('HR Database (optional)'!$D$3:$D$101)) = "Woman") * ( ('HR Database (optional)'!$H$3:$H$101 = "") + ('HR Database (optional)'!$H$3:$H$101 &gt; E$8) &gt; 0 ), 'HR Database (optional)'!$J$3:$J$101 ) )</f>
        <v>900</v>
      </c>
      <c r="F39" s="81" cm="1">
        <f t="array" ref="F39">MEDIAN( IF( ('HR Database (optional)'!$F$3:$F$101 = "Non-Managerial Staff") * (TRIM(LOWER('HR Database (optional)'!$D$3:$D$101)) = "Woman") * ( ('HR Database (optional)'!$H$3:$H$101 = "") + ('HR Database (optional)'!$H$3:$H$101 &gt; F$8) &gt; 0 ), 'HR Database (optional)'!$J$3:$J$101 ) )</f>
        <v>1000</v>
      </c>
      <c r="G39" s="165"/>
    </row>
    <row r="40" spans="1:8" outlineLevel="1">
      <c r="A40" s="175" t="s">
        <v>214</v>
      </c>
      <c r="B40" s="97" t="s">
        <v>215</v>
      </c>
      <c r="C40" s="81" cm="1">
        <f t="array" ref="C40">MEDIAN( IF( ('HR Database (optional)'!$F$3:$F$101 = "Non-Managerial Staff") * (TRIM(LOWER('HR Database (optional)'!$D$3:$D$101)) = "man") * ( ('HR Database (optional)'!$H$3:$H$101 = "") + ('HR Database (optional)'!$H$3:$H$101 &gt; C$8) &gt; 0 ), 'HR Database (optional)'!$J$3:$J$101 ) )</f>
        <v>2000</v>
      </c>
      <c r="D40" s="81" cm="1">
        <f t="array" ref="D40">MEDIAN( IF( ('HR Database (optional)'!$F$3:$F$101 = "Non-Managerial Staff") * (TRIM(LOWER('HR Database (optional)'!$D$3:$D$101)) = "man") * ( ('HR Database (optional)'!$H$3:$H$101 = "") + ('HR Database (optional)'!$H$3:$H$101 &gt; D$8) &gt; 0 ), 'HR Database (optional)'!$J$3:$J$101 ) )</f>
        <v>2000</v>
      </c>
      <c r="E40" s="81" cm="1">
        <f t="array" ref="E40">MEDIAN( IF( ('HR Database (optional)'!$F$3:$F$101 = "Non-Managerial Staff") * (TRIM(LOWER('HR Database (optional)'!$D$3:$D$101)) = "man") * ( ('HR Database (optional)'!$H$3:$H$101 = "") + ('HR Database (optional)'!$H$3:$H$101 &gt; E$8) &gt; 0 ), 'HR Database (optional)'!$J$3:$J$101 ) )</f>
        <v>2000</v>
      </c>
      <c r="F40" s="81" cm="1">
        <f t="array" ref="F40">MEDIAN( IF( ('HR Database (optional)'!$F$3:$F$101 = "Non-Managerial Staff") * (TRIM(LOWER('HR Database (optional)'!$D$3:$D$101)) = "man") * ( ('HR Database (optional)'!$H$3:$H$101 = "") + ('HR Database (optional)'!$H$3:$H$101 &gt; F$8) &gt; 0 ), 'HR Database (optional)'!$J$3:$J$101 ) )</f>
        <v>2000</v>
      </c>
      <c r="G40" s="165"/>
    </row>
    <row r="41" spans="1:8">
      <c r="A41" s="178" t="s">
        <v>216</v>
      </c>
      <c r="B41" s="91" t="s">
        <v>217</v>
      </c>
      <c r="C41" s="82"/>
      <c r="D41" s="82"/>
      <c r="E41" s="82"/>
      <c r="F41" s="365"/>
      <c r="G41" s="166"/>
    </row>
    <row r="42" spans="1:8" outlineLevel="1">
      <c r="A42" s="175" t="s">
        <v>218</v>
      </c>
      <c r="B42" s="97" t="s">
        <v>219</v>
      </c>
      <c r="C42" s="81" cm="1">
        <f t="array" ref="C42">SUMPRODUCT(--(TRIM(LOWER('HR Database (optional)'!$D$3:$D$101))="woman"),--(LEN(TRIM('HR Database (optional)'!$K$3:$K$101))&gt;0),--('HR Database (optional)'!$K$3:$K$101&lt;=(C$8-(12+G3))))</f>
        <v>2</v>
      </c>
      <c r="D42" s="81" cm="1">
        <f t="array" ref="D42">SUMPRODUCT( --(TRIM(LOWER('HR Database (optional)'!$D$3:$D$101)) = "woman"), --(LEN(TRIM('HR Database (optional)'!$K$3:$K$101)) &gt; 0), --('HR Database (optional)'!$K$3:$K$101 &lt;= D$8) )</f>
        <v>5</v>
      </c>
      <c r="E42" s="81" cm="1">
        <f t="array" ref="E42">SUMPRODUCT( --(TRIM(LOWER('HR Database (optional)'!$D$3:$D$101)) = "woman"), --(LEN(TRIM('HR Database (optional)'!$K$3:$K$101)) &gt; 0), --('HR Database (optional)'!$K$3:$K$101 &lt;= E$8) )</f>
        <v>5</v>
      </c>
      <c r="F42" s="81" cm="1">
        <f t="array" ref="F42">SUMPRODUCT( --(TRIM(LOWER('HR Database (optional)'!$D$3:$D$101)) = "woman"), --(LEN(TRIM('HR Database (optional)'!$K$3:$K$101)) &gt; 0), --('HR Database (optional)'!$K$3:$K$101 &lt;= F$8) )</f>
        <v>5</v>
      </c>
      <c r="G42" s="165"/>
    </row>
    <row r="43" spans="1:8" outlineLevel="1">
      <c r="A43" s="175" t="s">
        <v>220</v>
      </c>
      <c r="B43" s="97" t="s">
        <v>221</v>
      </c>
      <c r="C43" s="91"/>
      <c r="D43" s="81" cm="1">
        <f t="array" ref="D43">SUMPRODUCT(--(TRIM(LOWER('HR Database (optional)'!$D$3:$D$101)) = "woman"),  --(LEN(TRIM('HR Database (optional)'!$K$3:$K$101)) &gt; 0),  --('HR Database (optional)'!$K$3:$K$101 &lt;= D$8),--(DATEDIF('HR Database (optional)'!$K$3:$K$101, IF('HR Database (optional)'!$H$3:$H$101 = "", D8, 'HR Database (optional)'!$H$3:$H$101),"m") &gt;= (12+G3) ))</f>
        <v>3</v>
      </c>
      <c r="E43" s="81" cm="1">
        <f t="array" ref="E43">SUMPRODUCT(--(TRIM(LOWER('HR Database (optional)'!$D$3:$D$101)) = "woman"),  --(LEN(TRIM('HR Database (optional)'!$K$3:$K$101)) &gt; 0),  --('HR Database (optional)'!$K$3:$K$101 &lt;= E$8),--(DATEDIF('HR Database (optional)'!$K$3:$K$101, IF('HR Database (optional)'!$H$3:$H$101 = "", E8, 'HR Database (optional)'!$H$3:$H$101),"m") &gt;= (12+G3) ))</f>
        <v>3</v>
      </c>
      <c r="F43" s="81" cm="1">
        <f t="array" ref="F43">SUMPRODUCT(--(TRIM(LOWER('HR Database (optional)'!$D$3:$D$101)) = "woman"),  --(LEN(TRIM('HR Database (optional)'!$K$3:$K$101)) &gt; 0),  --('HR Database (optional)'!$K$3:$K$101 &lt;= F$8),--(DATEDIF('HR Database (optional)'!$K$3:$K$101, IF('HR Database (optional)'!$H$3:$H$101 = "", F8, 'HR Database (optional)'!$H$3:$H$101),"m") &gt;= (12+H3) ))</f>
        <v>4</v>
      </c>
      <c r="G43" s="165"/>
    </row>
    <row r="44" spans="1:8" outlineLevel="1">
      <c r="A44" s="175" t="s">
        <v>222</v>
      </c>
      <c r="B44" s="97" t="s">
        <v>223</v>
      </c>
      <c r="C44" s="81" cm="1">
        <f t="array" ref="C44">SUMPRODUCT( --(TRIM(LOWER('HR Database (optional)'!$D$3:$D$101)) = "man"), --(LEN(TRIM('HR Database (optional)'!$K$3:$K$101)) &gt; 0) )</f>
        <v>3</v>
      </c>
      <c r="D44" s="81" cm="1">
        <f t="array" ref="D44">SUMPRODUCT( --(TRIM(LOWER('HR Database (optional)'!$D$3:$D$101)) = "man"), --(LEN(TRIM('HR Database (optional)'!$K$3:$K$101)) &gt; 0) )</f>
        <v>3</v>
      </c>
      <c r="E44" s="81" cm="1">
        <f t="array" ref="E44">SUMPRODUCT( --(TRIM(LOWER('HR Database (optional)'!$D$3:$D$101)) = "man"), --(LEN(TRIM('HR Database (optional)'!$K$3:$K$101)) &gt; 0) )</f>
        <v>3</v>
      </c>
      <c r="F44" s="81" cm="1">
        <f t="array" ref="F44">SUMPRODUCT( --(TRIM(LOWER('HR Database (optional)'!$D$3:$D$101)) = "man"), --(LEN(TRIM('HR Database (optional)'!$K$3:$K$101)) &gt; 0) )</f>
        <v>3</v>
      </c>
      <c r="G44" s="165"/>
    </row>
    <row r="45" spans="1:8" outlineLevel="1">
      <c r="A45" s="175" t="s">
        <v>224</v>
      </c>
      <c r="B45" s="97" t="s">
        <v>225</v>
      </c>
      <c r="C45" s="91"/>
      <c r="D45" s="81" cm="1">
        <f t="array" ref="D45">SUMPRODUCT(--(TRIM(LOWER('HR Database (optional)'!$D$3:$D$101)) = "man"),  --(LEN(TRIM('HR Database (optional)'!$K$3:$K$101)) &gt; 0),  --('HR Database (optional)'!$K$3:$K$101 &lt;= D$8),--(DATEDIF('HR Database (optional)'!$K$3:$K$101, IF('HR Database (optional)'!$H$3:$H$101 = "", D$8, 'HR Database (optional)'!$H$3:$H$101),"m") &gt;= (12+G3) ))</f>
        <v>1</v>
      </c>
      <c r="E45" s="81" cm="1">
        <f t="array" ref="E45">SUMPRODUCT(--(TRIM(LOWER('HR Database (optional)'!$D$3:$D$101)) = "man"),  --(LEN(TRIM('HR Database (optional)'!$K$3:$K$101)) &gt; 0),  --('HR Database (optional)'!$K$3:$K$101 &lt;= E$8),--(DATEDIF('HR Database (optional)'!$K$3:$K$101, IF('HR Database (optional)'!$H$3:$H$101 = "", E$8, 'HR Database (optional)'!$H$3:$H$101),"m") &gt;= (12+G3) ))</f>
        <v>2</v>
      </c>
      <c r="F45" s="81" cm="1">
        <f t="array" ref="F45">SUMPRODUCT(--(TRIM(LOWER('HR Database (optional)'!$D$3:$D$101)) = "man"),  --(LEN(TRIM('HR Database (optional)'!$K$3:$K$101)) &gt; 0),  --('HR Database (optional)'!$K$3:$K$101 &lt;= F$8),--(DATEDIF('HR Database (optional)'!$K$3:$K$101, IF('HR Database (optional)'!$H$3:$H$101 = "", F$8, 'HR Database (optional)'!$H$3:$H$101),"m") &gt;= (12+H3) ))</f>
        <v>3</v>
      </c>
      <c r="G45" s="165"/>
    </row>
    <row r="46" spans="1:8">
      <c r="A46" s="178" t="s">
        <v>226</v>
      </c>
      <c r="B46" s="91" t="s">
        <v>227</v>
      </c>
      <c r="C46" s="91"/>
      <c r="D46" s="91"/>
      <c r="E46" s="91"/>
      <c r="F46" s="366"/>
      <c r="G46" s="167"/>
    </row>
    <row r="47" spans="1:8" ht="28" outlineLevel="1">
      <c r="A47" s="175" t="s">
        <v>228</v>
      </c>
      <c r="B47" s="89" t="s">
        <v>229</v>
      </c>
      <c r="C47" s="81">
        <v>1</v>
      </c>
      <c r="D47" s="81">
        <v>2</v>
      </c>
      <c r="E47" s="81">
        <v>0</v>
      </c>
      <c r="F47" s="81">
        <v>0</v>
      </c>
      <c r="G47" s="165"/>
      <c r="H47" s="98" t="s">
        <v>230</v>
      </c>
    </row>
    <row r="48" spans="1:8" ht="28" outlineLevel="1">
      <c r="A48" s="175" t="s">
        <v>231</v>
      </c>
      <c r="B48" s="89" t="s">
        <v>232</v>
      </c>
      <c r="C48" s="81">
        <v>2</v>
      </c>
      <c r="D48" s="81">
        <v>1</v>
      </c>
      <c r="E48" s="81">
        <v>2</v>
      </c>
      <c r="F48" s="81">
        <v>2</v>
      </c>
      <c r="G48" s="165"/>
      <c r="H48" s="98" t="s">
        <v>230</v>
      </c>
    </row>
    <row r="49" spans="1:8" ht="28" outlineLevel="1">
      <c r="A49" s="175" t="s">
        <v>233</v>
      </c>
      <c r="B49" s="89" t="s">
        <v>234</v>
      </c>
      <c r="C49" s="81">
        <v>1</v>
      </c>
      <c r="D49" s="81">
        <v>1</v>
      </c>
      <c r="E49" s="81">
        <v>1</v>
      </c>
      <c r="F49" s="81">
        <v>1</v>
      </c>
      <c r="G49" s="165"/>
      <c r="H49" s="98" t="s">
        <v>230</v>
      </c>
    </row>
    <row r="50" spans="1:8" ht="28" outlineLevel="1">
      <c r="A50" s="175" t="s">
        <v>235</v>
      </c>
      <c r="B50" s="89" t="s">
        <v>236</v>
      </c>
      <c r="C50" s="81">
        <v>1</v>
      </c>
      <c r="D50" s="81">
        <v>0</v>
      </c>
      <c r="E50" s="81">
        <v>1</v>
      </c>
      <c r="F50" s="81">
        <v>1</v>
      </c>
      <c r="G50" s="165"/>
      <c r="H50" s="98" t="s">
        <v>230</v>
      </c>
    </row>
    <row r="51" spans="1:8">
      <c r="A51" s="178" t="s">
        <v>237</v>
      </c>
      <c r="B51" s="91" t="s">
        <v>238</v>
      </c>
      <c r="C51" s="91"/>
      <c r="D51" s="91"/>
      <c r="E51" s="91"/>
      <c r="F51" s="366"/>
      <c r="G51" s="167"/>
    </row>
    <row r="52" spans="1:8" outlineLevel="1">
      <c r="A52" s="175" t="s">
        <v>239</v>
      </c>
      <c r="B52" s="97" t="s">
        <v>240</v>
      </c>
      <c r="C52" s="81">
        <v>5</v>
      </c>
      <c r="D52" s="81">
        <v>10</v>
      </c>
      <c r="E52" s="81">
        <v>15</v>
      </c>
      <c r="F52" s="81">
        <v>15</v>
      </c>
      <c r="G52" s="165"/>
      <c r="H52" s="98" t="s">
        <v>230</v>
      </c>
    </row>
    <row r="53" spans="1:8" outlineLevel="1">
      <c r="A53" s="175" t="s">
        <v>241</v>
      </c>
      <c r="B53" s="97" t="s">
        <v>242</v>
      </c>
      <c r="C53" s="81">
        <v>14</v>
      </c>
      <c r="D53" s="81">
        <v>20</v>
      </c>
      <c r="E53" s="81">
        <v>20</v>
      </c>
      <c r="F53" s="81">
        <v>20</v>
      </c>
      <c r="G53" s="165"/>
      <c r="H53" s="98" t="s">
        <v>230</v>
      </c>
    </row>
    <row r="54" spans="1:8">
      <c r="A54" s="178" t="s">
        <v>243</v>
      </c>
      <c r="B54" s="91" t="s">
        <v>244</v>
      </c>
      <c r="C54" s="82"/>
      <c r="D54" s="82"/>
      <c r="E54" s="82"/>
      <c r="F54" s="365"/>
      <c r="G54" s="166"/>
    </row>
    <row r="55" spans="1:8" ht="42" outlineLevel="1">
      <c r="A55" s="175" t="s">
        <v>245</v>
      </c>
      <c r="B55" s="89" t="s">
        <v>246</v>
      </c>
      <c r="C55" s="81" t="s">
        <v>247</v>
      </c>
      <c r="D55" s="81" t="s">
        <v>248</v>
      </c>
      <c r="E55" s="81" t="s">
        <v>249</v>
      </c>
      <c r="F55" s="81" t="s">
        <v>249</v>
      </c>
      <c r="G55" s="165"/>
    </row>
    <row r="56" spans="1:8" ht="42" outlineLevel="1">
      <c r="A56" s="175" t="s">
        <v>250</v>
      </c>
      <c r="B56" s="89" t="s">
        <v>251</v>
      </c>
      <c r="C56" s="81" t="s">
        <v>252</v>
      </c>
      <c r="D56" s="81" t="s">
        <v>253</v>
      </c>
      <c r="E56" s="81" t="s">
        <v>254</v>
      </c>
      <c r="F56" s="81" t="s">
        <v>254</v>
      </c>
      <c r="G56" s="165"/>
    </row>
    <row r="57" spans="1:8" ht="42" outlineLevel="1">
      <c r="A57" s="175" t="s">
        <v>255</v>
      </c>
      <c r="B57" s="89" t="s">
        <v>256</v>
      </c>
      <c r="C57" s="81" t="s">
        <v>252</v>
      </c>
      <c r="D57" s="81" t="s">
        <v>254</v>
      </c>
      <c r="E57" s="81" t="s">
        <v>254</v>
      </c>
      <c r="F57" s="81" t="s">
        <v>254</v>
      </c>
      <c r="G57" s="165"/>
    </row>
    <row r="58" spans="1:8" s="77" customFormat="1" ht="42" outlineLevel="1">
      <c r="A58" s="175" t="s">
        <v>257</v>
      </c>
      <c r="B58" s="89" t="s">
        <v>258</v>
      </c>
      <c r="C58" s="81" t="s">
        <v>253</v>
      </c>
      <c r="D58" s="81" t="s">
        <v>254</v>
      </c>
      <c r="E58" s="81" t="s">
        <v>254</v>
      </c>
      <c r="F58" s="81" t="s">
        <v>254</v>
      </c>
      <c r="G58" s="165"/>
    </row>
    <row r="59" spans="1:8" ht="42" outlineLevel="1">
      <c r="A59" s="175" t="s">
        <v>259</v>
      </c>
      <c r="B59" s="89" t="s">
        <v>260</v>
      </c>
      <c r="C59" s="81" t="s">
        <v>261</v>
      </c>
      <c r="D59" s="81" t="s">
        <v>261</v>
      </c>
      <c r="E59" s="81" t="s">
        <v>261</v>
      </c>
      <c r="F59" s="81" t="s">
        <v>261</v>
      </c>
      <c r="G59" s="165"/>
    </row>
    <row r="60" spans="1:8" ht="28" outlineLevel="1">
      <c r="A60" s="175" t="s">
        <v>262</v>
      </c>
      <c r="B60" s="89" t="s">
        <v>263</v>
      </c>
      <c r="C60" s="81" t="s">
        <v>252</v>
      </c>
      <c r="D60" s="81" t="s">
        <v>253</v>
      </c>
      <c r="E60" s="81" t="s">
        <v>253</v>
      </c>
      <c r="F60" s="81" t="s">
        <v>253</v>
      </c>
      <c r="G60" s="165"/>
    </row>
    <row r="61" spans="1:8" ht="28" outlineLevel="1">
      <c r="A61" s="175" t="s">
        <v>264</v>
      </c>
      <c r="B61" s="89" t="s">
        <v>265</v>
      </c>
      <c r="C61" s="81" t="s">
        <v>247</v>
      </c>
      <c r="D61" s="81" t="s">
        <v>248</v>
      </c>
      <c r="E61" s="81" t="s">
        <v>249</v>
      </c>
      <c r="F61" s="81" t="s">
        <v>249</v>
      </c>
      <c r="G61" s="165"/>
    </row>
    <row r="62" spans="1:8" outlineLevel="1">
      <c r="A62" s="175" t="s">
        <v>266</v>
      </c>
      <c r="B62" s="97" t="s">
        <v>267</v>
      </c>
      <c r="C62" s="81" t="s">
        <v>248</v>
      </c>
      <c r="D62" s="81" t="s">
        <v>249</v>
      </c>
      <c r="E62" s="81" t="s">
        <v>261</v>
      </c>
      <c r="F62" s="81" t="s">
        <v>261</v>
      </c>
      <c r="G62" s="165"/>
    </row>
    <row r="63" spans="1:8" ht="28" outlineLevel="1">
      <c r="A63" s="175" t="s">
        <v>268</v>
      </c>
      <c r="B63" s="89" t="s">
        <v>269</v>
      </c>
      <c r="C63" s="81" t="s">
        <v>248</v>
      </c>
      <c r="D63" s="81" t="s">
        <v>248</v>
      </c>
      <c r="E63" s="81" t="s">
        <v>249</v>
      </c>
      <c r="F63" s="81" t="s">
        <v>249</v>
      </c>
      <c r="G63" s="165"/>
    </row>
    <row r="64" spans="1:8" outlineLevel="1">
      <c r="A64" s="176" t="s">
        <v>270</v>
      </c>
      <c r="B64" s="318" t="s">
        <v>271</v>
      </c>
      <c r="C64" s="168" t="s">
        <v>249</v>
      </c>
      <c r="D64" s="168" t="s">
        <v>249</v>
      </c>
      <c r="E64" s="168" t="s">
        <v>261</v>
      </c>
      <c r="F64" s="168" t="s">
        <v>261</v>
      </c>
      <c r="G64" s="169"/>
    </row>
    <row r="66" spans="1:7" ht="14">
      <c r="A66" s="177"/>
      <c r="B66" s="78" t="s">
        <v>272</v>
      </c>
      <c r="C66" s="79"/>
      <c r="D66" s="80"/>
      <c r="E66" s="80"/>
      <c r="F66" s="367"/>
      <c r="G66" s="367"/>
    </row>
    <row r="67" spans="1:7" s="77" customFormat="1">
      <c r="A67" s="178" t="s">
        <v>273</v>
      </c>
      <c r="B67" s="91" t="s">
        <v>274</v>
      </c>
      <c r="C67" s="82"/>
      <c r="D67" s="82"/>
      <c r="E67" s="82"/>
      <c r="F67" s="368"/>
      <c r="G67" s="368"/>
    </row>
    <row r="68" spans="1:7" outlineLevel="1">
      <c r="A68" s="175" t="s">
        <v>275</v>
      </c>
      <c r="B68" s="97" t="s">
        <v>276</v>
      </c>
      <c r="C68" s="319">
        <v>50</v>
      </c>
      <c r="D68" s="319">
        <v>80</v>
      </c>
      <c r="E68" s="319">
        <v>100</v>
      </c>
      <c r="F68" s="319">
        <v>100</v>
      </c>
      <c r="G68" s="165"/>
    </row>
    <row r="69" spans="1:7" outlineLevel="1">
      <c r="A69" s="175" t="s">
        <v>277</v>
      </c>
      <c r="B69" s="97" t="s">
        <v>278</v>
      </c>
      <c r="C69" s="319">
        <v>150</v>
      </c>
      <c r="D69" s="319">
        <v>200</v>
      </c>
      <c r="E69" s="319">
        <v>250</v>
      </c>
      <c r="F69" s="319">
        <v>250</v>
      </c>
      <c r="G69" s="165"/>
    </row>
    <row r="70" spans="1:7" outlineLevel="1">
      <c r="A70" s="175" t="s">
        <v>279</v>
      </c>
      <c r="B70" s="97" t="s">
        <v>280</v>
      </c>
      <c r="C70" s="319">
        <v>1000</v>
      </c>
      <c r="D70" s="319">
        <v>1050</v>
      </c>
      <c r="E70" s="319">
        <v>1200</v>
      </c>
      <c r="F70" s="319">
        <v>1200</v>
      </c>
      <c r="G70" s="165"/>
    </row>
    <row r="71" spans="1:7" outlineLevel="1">
      <c r="A71" s="175" t="s">
        <v>281</v>
      </c>
      <c r="B71" s="97" t="s">
        <v>282</v>
      </c>
      <c r="C71" s="319">
        <v>3000</v>
      </c>
      <c r="D71" s="319">
        <v>3300</v>
      </c>
      <c r="E71" s="319">
        <v>3500</v>
      </c>
      <c r="F71" s="319">
        <v>3500</v>
      </c>
      <c r="G71" s="165"/>
    </row>
    <row r="72" spans="1:7">
      <c r="A72" s="178" t="s">
        <v>283</v>
      </c>
      <c r="B72" s="92" t="s">
        <v>284</v>
      </c>
      <c r="C72" s="320"/>
      <c r="D72" s="320"/>
      <c r="E72" s="320"/>
      <c r="F72" s="369"/>
      <c r="G72" s="369"/>
    </row>
    <row r="73" spans="1:7" outlineLevel="1">
      <c r="A73" s="175" t="s">
        <v>285</v>
      </c>
      <c r="B73" s="97" t="s">
        <v>286</v>
      </c>
      <c r="C73" s="319">
        <v>21000</v>
      </c>
      <c r="D73" s="319">
        <v>23730</v>
      </c>
      <c r="E73" s="319">
        <v>27950</v>
      </c>
      <c r="F73" s="319">
        <v>27950</v>
      </c>
      <c r="G73" s="165"/>
    </row>
    <row r="74" spans="1:7" outlineLevel="1">
      <c r="A74" s="175" t="s">
        <v>287</v>
      </c>
      <c r="B74" s="97" t="s">
        <v>288</v>
      </c>
      <c r="C74" s="319">
        <v>1050</v>
      </c>
      <c r="D74" s="319">
        <v>1130</v>
      </c>
      <c r="E74" s="319">
        <v>1300</v>
      </c>
      <c r="F74" s="319">
        <v>1300</v>
      </c>
      <c r="G74" s="165"/>
    </row>
    <row r="75" spans="1:7" outlineLevel="1">
      <c r="A75" s="175" t="s">
        <v>289</v>
      </c>
      <c r="B75" s="97" t="s">
        <v>290</v>
      </c>
      <c r="C75" s="319">
        <v>37800</v>
      </c>
      <c r="D75" s="319">
        <v>45030</v>
      </c>
      <c r="E75" s="319">
        <v>49000</v>
      </c>
      <c r="F75" s="319">
        <v>49000</v>
      </c>
      <c r="G75" s="165"/>
    </row>
    <row r="76" spans="1:7" outlineLevel="1">
      <c r="A76" s="175" t="s">
        <v>291</v>
      </c>
      <c r="B76" s="97" t="s">
        <v>292</v>
      </c>
      <c r="C76" s="319">
        <v>2100</v>
      </c>
      <c r="D76" s="319">
        <v>2370</v>
      </c>
      <c r="E76" s="319">
        <v>2450</v>
      </c>
      <c r="F76" s="319">
        <v>2450</v>
      </c>
      <c r="G76" s="165"/>
    </row>
    <row r="77" spans="1:7">
      <c r="A77" s="178" t="s">
        <v>293</v>
      </c>
      <c r="B77" s="91" t="s">
        <v>294</v>
      </c>
      <c r="C77" s="320"/>
      <c r="D77" s="320"/>
      <c r="E77" s="320"/>
      <c r="F77" s="369"/>
      <c r="G77" s="369"/>
    </row>
    <row r="78" spans="1:7" outlineLevel="1">
      <c r="A78" s="175" t="s">
        <v>295</v>
      </c>
      <c r="B78" s="97" t="s">
        <v>296</v>
      </c>
      <c r="C78" s="319">
        <f>C79*12000</f>
        <v>12600000</v>
      </c>
      <c r="D78" s="319">
        <f>D79*16000</f>
        <v>18080000</v>
      </c>
      <c r="E78" s="319">
        <f>E79*15000</f>
        <v>19500000</v>
      </c>
      <c r="F78" s="319">
        <f>F79*15000</f>
        <v>19500000</v>
      </c>
      <c r="G78" s="165"/>
    </row>
    <row r="79" spans="1:7" outlineLevel="1">
      <c r="A79" s="175" t="s">
        <v>297</v>
      </c>
      <c r="B79" s="97" t="s">
        <v>298</v>
      </c>
      <c r="C79" s="319">
        <f>C74</f>
        <v>1050</v>
      </c>
      <c r="D79" s="319">
        <f>D74</f>
        <v>1130</v>
      </c>
      <c r="E79" s="319">
        <f>E74</f>
        <v>1300</v>
      </c>
      <c r="F79" s="319">
        <f>F74</f>
        <v>1300</v>
      </c>
      <c r="G79" s="165"/>
    </row>
    <row r="80" spans="1:7" outlineLevel="1">
      <c r="A80" s="175" t="s">
        <v>299</v>
      </c>
      <c r="B80" s="97" t="s">
        <v>300</v>
      </c>
      <c r="C80" s="319">
        <f>C81*10000</f>
        <v>21000000</v>
      </c>
      <c r="D80" s="319">
        <f>D81*17000</f>
        <v>40290000</v>
      </c>
      <c r="E80" s="319">
        <f>E81*15000</f>
        <v>36750000</v>
      </c>
      <c r="F80" s="319">
        <f>F81*15000</f>
        <v>36750000</v>
      </c>
      <c r="G80" s="165"/>
    </row>
    <row r="81" spans="1:7" outlineLevel="1">
      <c r="A81" s="175" t="s">
        <v>301</v>
      </c>
      <c r="B81" s="97" t="s">
        <v>302</v>
      </c>
      <c r="C81" s="319">
        <f>C76</f>
        <v>2100</v>
      </c>
      <c r="D81" s="319">
        <f>D76</f>
        <v>2370</v>
      </c>
      <c r="E81" s="319">
        <f>E76</f>
        <v>2450</v>
      </c>
      <c r="F81" s="319">
        <f>F76</f>
        <v>2450</v>
      </c>
      <c r="G81" s="165"/>
    </row>
    <row r="82" spans="1:7">
      <c r="A82" s="178" t="s">
        <v>303</v>
      </c>
      <c r="B82" s="91" t="s">
        <v>244</v>
      </c>
      <c r="C82" s="320"/>
      <c r="D82" s="320"/>
      <c r="E82" s="320"/>
      <c r="F82" s="369"/>
      <c r="G82" s="369"/>
    </row>
    <row r="83" spans="1:7" ht="28" outlineLevel="1">
      <c r="A83" s="175" t="s">
        <v>304</v>
      </c>
      <c r="B83" s="89" t="s">
        <v>305</v>
      </c>
      <c r="C83" s="81" t="s">
        <v>247</v>
      </c>
      <c r="D83" s="81" t="s">
        <v>248</v>
      </c>
      <c r="E83" s="81" t="s">
        <v>248</v>
      </c>
      <c r="F83" s="81" t="s">
        <v>248</v>
      </c>
      <c r="G83" s="165"/>
    </row>
    <row r="84" spans="1:7" ht="28" outlineLevel="1">
      <c r="A84" s="175" t="s">
        <v>306</v>
      </c>
      <c r="B84" s="89" t="s">
        <v>307</v>
      </c>
      <c r="C84" s="81" t="s">
        <v>248</v>
      </c>
      <c r="D84" s="81" t="s">
        <v>248</v>
      </c>
      <c r="E84" s="81" t="s">
        <v>248</v>
      </c>
      <c r="F84" s="81" t="s">
        <v>248</v>
      </c>
      <c r="G84" s="165"/>
    </row>
    <row r="85" spans="1:7" s="75" customFormat="1" ht="28" outlineLevel="1">
      <c r="A85" s="175" t="s">
        <v>308</v>
      </c>
      <c r="B85" s="321" t="s">
        <v>309</v>
      </c>
      <c r="C85" s="81" t="s">
        <v>248</v>
      </c>
      <c r="D85" s="81" t="s">
        <v>249</v>
      </c>
      <c r="E85" s="81" t="s">
        <v>261</v>
      </c>
      <c r="F85" s="81" t="s">
        <v>261</v>
      </c>
      <c r="G85" s="165"/>
    </row>
    <row r="86" spans="1:7" outlineLevel="1">
      <c r="A86" s="176" t="s">
        <v>310</v>
      </c>
      <c r="B86" s="318" t="s">
        <v>311</v>
      </c>
      <c r="C86" s="168" t="s">
        <v>247</v>
      </c>
      <c r="D86" s="168" t="s">
        <v>247</v>
      </c>
      <c r="E86" s="168" t="s">
        <v>247</v>
      </c>
      <c r="F86" s="168" t="s">
        <v>247</v>
      </c>
      <c r="G86" s="165"/>
    </row>
  </sheetData>
  <phoneticPr fontId="41" type="noConversion"/>
  <hyperlinks>
    <hyperlink ref="I2" location="'Assessment Guide Output'!A1" display="'Assessment Guide Output'!A1" xr:uid="{0BC21724-07A0-4E37-AA85-36DE15680366}"/>
  </hyperlinks>
  <pageMargins left="0.7" right="0.7" top="0.75" bottom="0.75" header="0.3" footer="0.3"/>
  <pageSetup paperSize="9" scale="42" orientation="portrait" r:id="rId1"/>
  <ignoredErrors>
    <ignoredError sqref="E79 C80:D80" formula="1"/>
  </ignoredErrors>
  <extLst>
    <ext xmlns:x14="http://schemas.microsoft.com/office/spreadsheetml/2009/9/main" uri="{CCE6A557-97BC-4b89-ADB6-D9C93CAAB3DF}">
      <x14:dataValidations xmlns:xm="http://schemas.microsoft.com/office/excel/2006/main" count="2">
        <x14:dataValidation type="list" allowBlank="1" showInputMessage="1" showErrorMessage="1" xr:uid="{AA70F6ED-B29E-4FF5-8484-44BFC2AEAB44}">
          <x14:formula1>
            <xm:f>List!$D$1:$D$3</xm:f>
          </x14:formula1>
          <xm:sqref>C60:F60 C56:F58</xm:sqref>
        </x14:dataValidation>
        <x14:dataValidation type="list" allowBlank="1" showInputMessage="1" showErrorMessage="1" xr:uid="{AC68F721-42CA-4683-A41C-2152CEC1D5D7}">
          <x14:formula1>
            <xm:f>List!$D$6:$D$9</xm:f>
          </x14:formula1>
          <xm:sqref>C55:F55 C59:F59 C61:F64 C83:F86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tabColor rgb="FF9CA71C"/>
    <outlinePr summaryBelow="0" summaryRight="0"/>
    <pageSetUpPr fitToPage="1"/>
  </sheetPr>
  <dimension ref="A1:R43"/>
  <sheetViews>
    <sheetView showGridLines="0" view="pageBreakPreview" zoomScale="77" zoomScaleNormal="60" zoomScaleSheetLayoutView="121" workbookViewId="0">
      <pane xSplit="8" ySplit="2" topLeftCell="I4" activePane="bottomRight" state="frozen"/>
      <selection pane="topRight" activeCell="I1" sqref="I1"/>
      <selection pane="bottomLeft" activeCell="A2" sqref="A2"/>
      <selection pane="bottomRight" activeCell="J4" sqref="J4"/>
    </sheetView>
  </sheetViews>
  <sheetFormatPr baseColWidth="10" defaultColWidth="12.5" defaultRowHeight="15.75" customHeight="1"/>
  <cols>
    <col min="1" max="1" width="7.1640625" customWidth="1"/>
    <col min="2" max="2" width="18" customWidth="1"/>
    <col min="3" max="3" width="14.5" customWidth="1"/>
    <col min="4" max="4" width="12" customWidth="1"/>
    <col min="5" max="5" width="15.5" customWidth="1"/>
    <col min="6" max="6" width="14.5" customWidth="1"/>
    <col min="7" max="7" width="15" customWidth="1"/>
    <col min="8" max="8" width="18.5" customWidth="1"/>
    <col min="12" max="12" width="11.5" customWidth="1"/>
    <col min="13" max="13" width="13.5" customWidth="1"/>
    <col min="14" max="14" width="32.5" customWidth="1"/>
    <col min="15" max="15" width="20.5" customWidth="1"/>
    <col min="16" max="16" width="18.1640625" customWidth="1"/>
    <col min="17" max="17" width="29.5" customWidth="1"/>
    <col min="18" max="18" width="45.5" customWidth="1"/>
    <col min="19" max="19" width="21.5" customWidth="1"/>
    <col min="20" max="20" width="30" customWidth="1"/>
  </cols>
  <sheetData>
    <row r="1" spans="1:18" ht="13">
      <c r="A1" s="247" t="e" vm="1">
        <v>#VALUE!</v>
      </c>
      <c r="B1" s="83"/>
    </row>
    <row r="2" spans="1:18" ht="26">
      <c r="A2" s="295"/>
      <c r="B2" s="48" t="s">
        <v>312</v>
      </c>
      <c r="C2" s="48" t="s">
        <v>313</v>
      </c>
      <c r="D2" s="48" t="s">
        <v>314</v>
      </c>
      <c r="E2" s="48" t="s">
        <v>315</v>
      </c>
      <c r="F2" s="48" t="s">
        <v>316</v>
      </c>
      <c r="G2" s="48" t="s">
        <v>317</v>
      </c>
      <c r="H2" s="48" t="s">
        <v>318</v>
      </c>
      <c r="I2" s="48" t="s">
        <v>319</v>
      </c>
      <c r="J2" s="48" t="s">
        <v>320</v>
      </c>
      <c r="K2" s="48" t="s">
        <v>321</v>
      </c>
      <c r="L2" s="48" t="s">
        <v>322</v>
      </c>
      <c r="M2" s="48" t="s">
        <v>323</v>
      </c>
      <c r="N2" s="48" t="s">
        <v>324</v>
      </c>
      <c r="O2" s="48" t="s">
        <v>325</v>
      </c>
      <c r="P2" s="48" t="s">
        <v>326</v>
      </c>
      <c r="Q2" s="48" t="s">
        <v>327</v>
      </c>
      <c r="R2" s="296" t="s">
        <v>328</v>
      </c>
    </row>
    <row r="3" spans="1:18" ht="130">
      <c r="A3" s="67" t="b">
        <v>1</v>
      </c>
      <c r="B3" s="68" t="s">
        <v>77</v>
      </c>
      <c r="C3" s="49" t="s">
        <v>329</v>
      </c>
      <c r="D3" s="49" t="s">
        <v>330</v>
      </c>
      <c r="E3" s="49" t="s">
        <v>331</v>
      </c>
      <c r="F3" s="49" t="s">
        <v>332</v>
      </c>
      <c r="G3" s="49" t="s">
        <v>333</v>
      </c>
      <c r="H3" s="50" t="s">
        <v>334</v>
      </c>
      <c r="I3" s="49" t="s">
        <v>335</v>
      </c>
      <c r="J3" s="52" t="s">
        <v>336</v>
      </c>
      <c r="K3" s="49" t="s">
        <v>337</v>
      </c>
      <c r="L3" s="49" t="s">
        <v>338</v>
      </c>
      <c r="M3" s="49" t="s">
        <v>339</v>
      </c>
      <c r="N3" s="49" t="s">
        <v>340</v>
      </c>
      <c r="O3" s="52" t="s">
        <v>341</v>
      </c>
      <c r="P3" s="49" t="s">
        <v>329</v>
      </c>
      <c r="Q3" s="49" t="s">
        <v>342</v>
      </c>
      <c r="R3" s="53" t="s">
        <v>343</v>
      </c>
    </row>
    <row r="4" spans="1:18" ht="182">
      <c r="A4" s="54" t="b">
        <v>1</v>
      </c>
      <c r="B4" s="68" t="s">
        <v>77</v>
      </c>
      <c r="C4" s="49" t="s">
        <v>329</v>
      </c>
      <c r="D4" s="49" t="s">
        <v>330</v>
      </c>
      <c r="E4" s="49" t="s">
        <v>344</v>
      </c>
      <c r="F4" s="49" t="s">
        <v>345</v>
      </c>
      <c r="G4" s="49" t="s">
        <v>346</v>
      </c>
      <c r="H4" s="50" t="s">
        <v>334</v>
      </c>
      <c r="I4" s="49" t="s">
        <v>347</v>
      </c>
      <c r="J4" s="50" t="s">
        <v>348</v>
      </c>
      <c r="K4" s="49" t="s">
        <v>337</v>
      </c>
      <c r="L4" s="49" t="s">
        <v>349</v>
      </c>
      <c r="M4" s="49" t="s">
        <v>350</v>
      </c>
      <c r="N4" s="49" t="s">
        <v>351</v>
      </c>
      <c r="O4" s="52" t="s">
        <v>352</v>
      </c>
      <c r="P4" s="49" t="s">
        <v>353</v>
      </c>
      <c r="Q4" s="49" t="s">
        <v>354</v>
      </c>
      <c r="R4" s="55" t="s">
        <v>355</v>
      </c>
    </row>
    <row r="5" spans="1:18" ht="143">
      <c r="A5" s="54" t="b">
        <v>1</v>
      </c>
      <c r="B5" s="68" t="s">
        <v>77</v>
      </c>
      <c r="C5" s="49" t="s">
        <v>329</v>
      </c>
      <c r="D5" s="49" t="s">
        <v>330</v>
      </c>
      <c r="E5" s="49" t="s">
        <v>356</v>
      </c>
      <c r="F5" s="49" t="s">
        <v>357</v>
      </c>
      <c r="G5" s="49" t="s">
        <v>358</v>
      </c>
      <c r="H5" s="50" t="s">
        <v>334</v>
      </c>
      <c r="I5" s="49" t="s">
        <v>347</v>
      </c>
      <c r="J5" s="52" t="s">
        <v>359</v>
      </c>
      <c r="K5" s="49" t="s">
        <v>337</v>
      </c>
      <c r="L5" s="49" t="s">
        <v>349</v>
      </c>
      <c r="M5" s="49" t="s">
        <v>350</v>
      </c>
      <c r="N5" s="49" t="s">
        <v>360</v>
      </c>
      <c r="O5" s="52" t="s">
        <v>352</v>
      </c>
      <c r="P5" s="49" t="s">
        <v>361</v>
      </c>
      <c r="Q5" s="49" t="s">
        <v>362</v>
      </c>
      <c r="R5" s="55" t="s">
        <v>363</v>
      </c>
    </row>
    <row r="6" spans="1:18" ht="182">
      <c r="A6" s="54" t="b">
        <v>1</v>
      </c>
      <c r="B6" s="68" t="s">
        <v>77</v>
      </c>
      <c r="C6" s="49" t="s">
        <v>329</v>
      </c>
      <c r="D6" s="49" t="s">
        <v>330</v>
      </c>
      <c r="E6" s="49" t="s">
        <v>364</v>
      </c>
      <c r="F6" s="49" t="s">
        <v>365</v>
      </c>
      <c r="G6" s="49" t="s">
        <v>366</v>
      </c>
      <c r="H6" s="50" t="s">
        <v>334</v>
      </c>
      <c r="I6" s="49" t="s">
        <v>347</v>
      </c>
      <c r="J6" s="52" t="s">
        <v>359</v>
      </c>
      <c r="K6" s="49" t="s">
        <v>337</v>
      </c>
      <c r="L6" s="49" t="s">
        <v>349</v>
      </c>
      <c r="M6" s="49" t="s">
        <v>350</v>
      </c>
      <c r="N6" s="49" t="s">
        <v>367</v>
      </c>
      <c r="O6" s="52" t="s">
        <v>368</v>
      </c>
      <c r="P6" s="49" t="s">
        <v>369</v>
      </c>
      <c r="Q6" s="49" t="s">
        <v>370</v>
      </c>
      <c r="R6" s="55" t="s">
        <v>371</v>
      </c>
    </row>
    <row r="7" spans="1:18" ht="182">
      <c r="A7" s="56" t="b">
        <v>1</v>
      </c>
      <c r="B7" s="102" t="s">
        <v>89</v>
      </c>
      <c r="C7" s="57" t="s">
        <v>329</v>
      </c>
      <c r="D7" s="57" t="s">
        <v>330</v>
      </c>
      <c r="E7" s="57" t="s">
        <v>372</v>
      </c>
      <c r="F7" s="57" t="s">
        <v>373</v>
      </c>
      <c r="G7" s="57" t="s">
        <v>374</v>
      </c>
      <c r="H7" s="245" t="s">
        <v>375</v>
      </c>
      <c r="I7" s="57" t="s">
        <v>347</v>
      </c>
      <c r="J7" s="282" t="s">
        <v>348</v>
      </c>
      <c r="K7" s="57" t="s">
        <v>337</v>
      </c>
      <c r="L7" s="57" t="s">
        <v>338</v>
      </c>
      <c r="M7" s="57" t="s">
        <v>376</v>
      </c>
      <c r="N7" s="57" t="s">
        <v>351</v>
      </c>
      <c r="O7" s="245" t="s">
        <v>352</v>
      </c>
      <c r="P7" s="57" t="s">
        <v>377</v>
      </c>
      <c r="Q7" s="57" t="s">
        <v>378</v>
      </c>
      <c r="R7" s="283" t="s">
        <v>371</v>
      </c>
    </row>
    <row r="8" spans="1:18" ht="182">
      <c r="A8" s="56" t="b">
        <v>1</v>
      </c>
      <c r="B8" s="102" t="s">
        <v>89</v>
      </c>
      <c r="C8" s="57" t="s">
        <v>329</v>
      </c>
      <c r="D8" s="57" t="s">
        <v>330</v>
      </c>
      <c r="E8" s="57" t="s">
        <v>379</v>
      </c>
      <c r="F8" s="57" t="s">
        <v>380</v>
      </c>
      <c r="G8" s="57" t="s">
        <v>381</v>
      </c>
      <c r="H8" s="245" t="s">
        <v>375</v>
      </c>
      <c r="I8" s="57" t="s">
        <v>347</v>
      </c>
      <c r="J8" s="245" t="s">
        <v>336</v>
      </c>
      <c r="K8" s="57" t="s">
        <v>337</v>
      </c>
      <c r="L8" s="57" t="s">
        <v>338</v>
      </c>
      <c r="M8" s="57" t="s">
        <v>376</v>
      </c>
      <c r="N8" s="57" t="s">
        <v>351</v>
      </c>
      <c r="O8" s="245" t="s">
        <v>352</v>
      </c>
      <c r="P8" s="57" t="s">
        <v>382</v>
      </c>
      <c r="Q8" s="57" t="s">
        <v>383</v>
      </c>
      <c r="R8" s="283" t="s">
        <v>384</v>
      </c>
    </row>
    <row r="9" spans="1:18" ht="130">
      <c r="A9" s="56" t="b">
        <v>1</v>
      </c>
      <c r="B9" s="102" t="s">
        <v>89</v>
      </c>
      <c r="C9" s="57" t="s">
        <v>329</v>
      </c>
      <c r="D9" s="57" t="s">
        <v>330</v>
      </c>
      <c r="E9" s="57" t="s">
        <v>385</v>
      </c>
      <c r="F9" s="57" t="s">
        <v>386</v>
      </c>
      <c r="G9" s="57" t="s">
        <v>387</v>
      </c>
      <c r="H9" s="245" t="s">
        <v>375</v>
      </c>
      <c r="I9" s="57" t="s">
        <v>335</v>
      </c>
      <c r="J9" s="245" t="s">
        <v>336</v>
      </c>
      <c r="K9" s="57" t="s">
        <v>337</v>
      </c>
      <c r="L9" s="57" t="s">
        <v>388</v>
      </c>
      <c r="M9" s="57" t="s">
        <v>389</v>
      </c>
      <c r="N9" s="57" t="s">
        <v>340</v>
      </c>
      <c r="O9" s="245" t="s">
        <v>341</v>
      </c>
      <c r="P9" s="57" t="s">
        <v>390</v>
      </c>
      <c r="Q9" s="57" t="s">
        <v>391</v>
      </c>
      <c r="R9" s="283" t="s">
        <v>392</v>
      </c>
    </row>
    <row r="10" spans="1:18" ht="260">
      <c r="A10" s="56" t="b">
        <v>1</v>
      </c>
      <c r="B10" s="102" t="s">
        <v>89</v>
      </c>
      <c r="C10" s="57" t="s">
        <v>329</v>
      </c>
      <c r="D10" s="57" t="s">
        <v>330</v>
      </c>
      <c r="E10" s="57" t="s">
        <v>393</v>
      </c>
      <c r="F10" s="57" t="s">
        <v>394</v>
      </c>
      <c r="G10" s="57" t="s">
        <v>395</v>
      </c>
      <c r="H10" s="245" t="s">
        <v>396</v>
      </c>
      <c r="I10" s="64">
        <v>1</v>
      </c>
      <c r="J10" s="245" t="s">
        <v>397</v>
      </c>
      <c r="K10" s="57" t="s">
        <v>337</v>
      </c>
      <c r="L10" s="57" t="s">
        <v>349</v>
      </c>
      <c r="M10" s="57" t="s">
        <v>350</v>
      </c>
      <c r="N10" s="57" t="s">
        <v>398</v>
      </c>
      <c r="O10" s="282" t="s">
        <v>399</v>
      </c>
      <c r="P10" s="57" t="s">
        <v>329</v>
      </c>
      <c r="Q10" s="57" t="s">
        <v>400</v>
      </c>
      <c r="R10" s="283" t="s">
        <v>401</v>
      </c>
    </row>
    <row r="11" spans="1:18" ht="91">
      <c r="A11" s="56" t="b">
        <v>1</v>
      </c>
      <c r="B11" s="102" t="s">
        <v>89</v>
      </c>
      <c r="C11" s="57" t="s">
        <v>329</v>
      </c>
      <c r="D11" s="57" t="s">
        <v>402</v>
      </c>
      <c r="E11" s="57" t="s">
        <v>403</v>
      </c>
      <c r="F11" s="57" t="s">
        <v>404</v>
      </c>
      <c r="G11" s="57" t="s">
        <v>405</v>
      </c>
      <c r="H11" s="245" t="s">
        <v>396</v>
      </c>
      <c r="I11" s="57" t="s">
        <v>406</v>
      </c>
      <c r="J11" s="245" t="s">
        <v>396</v>
      </c>
      <c r="K11" s="57" t="s">
        <v>407</v>
      </c>
      <c r="L11" s="57" t="s">
        <v>338</v>
      </c>
      <c r="M11" s="57" t="s">
        <v>376</v>
      </c>
      <c r="N11" s="57" t="s">
        <v>408</v>
      </c>
      <c r="O11" s="245" t="s">
        <v>375</v>
      </c>
      <c r="P11" s="57" t="s">
        <v>329</v>
      </c>
      <c r="Q11" s="57" t="s">
        <v>409</v>
      </c>
      <c r="R11" s="283" t="s">
        <v>410</v>
      </c>
    </row>
    <row r="12" spans="1:18" ht="409.6">
      <c r="A12" s="56" t="b">
        <v>0</v>
      </c>
      <c r="B12" s="102" t="s">
        <v>89</v>
      </c>
      <c r="C12" s="57" t="s">
        <v>329</v>
      </c>
      <c r="D12" s="57" t="s">
        <v>411</v>
      </c>
      <c r="E12" s="57" t="s">
        <v>412</v>
      </c>
      <c r="F12" s="57" t="s">
        <v>413</v>
      </c>
      <c r="G12" s="57" t="s">
        <v>414</v>
      </c>
      <c r="H12" s="245" t="s">
        <v>396</v>
      </c>
      <c r="I12" s="57">
        <v>1</v>
      </c>
      <c r="J12" s="245" t="s">
        <v>396</v>
      </c>
      <c r="K12" s="57" t="s">
        <v>415</v>
      </c>
      <c r="L12" s="57" t="s">
        <v>349</v>
      </c>
      <c r="M12" s="57" t="s">
        <v>350</v>
      </c>
      <c r="N12" s="57" t="s">
        <v>416</v>
      </c>
      <c r="O12" s="282" t="s">
        <v>417</v>
      </c>
      <c r="P12" s="57" t="s">
        <v>418</v>
      </c>
      <c r="Q12" s="57" t="s">
        <v>419</v>
      </c>
      <c r="R12" s="283" t="s">
        <v>420</v>
      </c>
    </row>
    <row r="13" spans="1:18" ht="380">
      <c r="A13" s="56" t="b">
        <v>1</v>
      </c>
      <c r="B13" s="102" t="s">
        <v>89</v>
      </c>
      <c r="C13" s="57" t="s">
        <v>329</v>
      </c>
      <c r="D13" s="57" t="s">
        <v>421</v>
      </c>
      <c r="E13" s="57" t="s">
        <v>422</v>
      </c>
      <c r="F13" s="57" t="s">
        <v>423</v>
      </c>
      <c r="G13" s="57" t="s">
        <v>424</v>
      </c>
      <c r="H13" s="245" t="s">
        <v>396</v>
      </c>
      <c r="I13" s="57" t="s">
        <v>425</v>
      </c>
      <c r="J13" s="245" t="s">
        <v>426</v>
      </c>
      <c r="K13" s="57" t="s">
        <v>415</v>
      </c>
      <c r="L13" s="57" t="s">
        <v>338</v>
      </c>
      <c r="M13" s="57" t="s">
        <v>376</v>
      </c>
      <c r="N13" s="57" t="s">
        <v>427</v>
      </c>
      <c r="O13" s="245" t="s">
        <v>341</v>
      </c>
      <c r="P13" s="57" t="s">
        <v>329</v>
      </c>
      <c r="Q13" s="57" t="s">
        <v>428</v>
      </c>
      <c r="R13" s="283" t="s">
        <v>429</v>
      </c>
    </row>
    <row r="14" spans="1:18" ht="208">
      <c r="A14" s="56" t="b">
        <v>0</v>
      </c>
      <c r="B14" s="102" t="s">
        <v>89</v>
      </c>
      <c r="C14" s="57" t="s">
        <v>329</v>
      </c>
      <c r="D14" s="57" t="s">
        <v>421</v>
      </c>
      <c r="E14" s="57" t="s">
        <v>422</v>
      </c>
      <c r="F14" s="57" t="s">
        <v>430</v>
      </c>
      <c r="G14" s="57" t="s">
        <v>431</v>
      </c>
      <c r="H14" s="245" t="s">
        <v>396</v>
      </c>
      <c r="I14" s="57" t="s">
        <v>425</v>
      </c>
      <c r="J14" s="245" t="s">
        <v>432</v>
      </c>
      <c r="K14" s="57" t="s">
        <v>415</v>
      </c>
      <c r="L14" s="57" t="s">
        <v>338</v>
      </c>
      <c r="M14" s="57" t="s">
        <v>376</v>
      </c>
      <c r="N14" s="57" t="s">
        <v>433</v>
      </c>
      <c r="O14" s="245" t="s">
        <v>341</v>
      </c>
      <c r="P14" s="57" t="s">
        <v>434</v>
      </c>
      <c r="Q14" s="57" t="s">
        <v>435</v>
      </c>
      <c r="R14" s="283" t="s">
        <v>429</v>
      </c>
    </row>
    <row r="15" spans="1:18" ht="182">
      <c r="A15" s="56" t="b">
        <v>0</v>
      </c>
      <c r="B15" s="102" t="s">
        <v>89</v>
      </c>
      <c r="C15" s="57" t="s">
        <v>329</v>
      </c>
      <c r="D15" s="57" t="s">
        <v>436</v>
      </c>
      <c r="E15" s="57" t="s">
        <v>437</v>
      </c>
      <c r="F15" s="57" t="s">
        <v>246</v>
      </c>
      <c r="G15" s="57" t="s">
        <v>438</v>
      </c>
      <c r="H15" s="245" t="s">
        <v>396</v>
      </c>
      <c r="I15" s="57" t="s">
        <v>439</v>
      </c>
      <c r="J15" s="245" t="s">
        <v>396</v>
      </c>
      <c r="K15" s="57" t="s">
        <v>337</v>
      </c>
      <c r="L15" s="57" t="s">
        <v>338</v>
      </c>
      <c r="M15" s="57" t="s">
        <v>376</v>
      </c>
      <c r="N15" s="57" t="s">
        <v>440</v>
      </c>
      <c r="O15" s="245" t="s">
        <v>441</v>
      </c>
      <c r="P15" s="57" t="s">
        <v>442</v>
      </c>
      <c r="Q15" s="57" t="s">
        <v>443</v>
      </c>
      <c r="R15" s="283" t="s">
        <v>444</v>
      </c>
    </row>
    <row r="16" spans="1:18" ht="104">
      <c r="A16" s="54" t="b">
        <v>0</v>
      </c>
      <c r="B16" s="68" t="s">
        <v>109</v>
      </c>
      <c r="C16" s="49" t="s">
        <v>329</v>
      </c>
      <c r="D16" s="49" t="s">
        <v>330</v>
      </c>
      <c r="E16" s="49" t="s">
        <v>445</v>
      </c>
      <c r="F16" s="49" t="s">
        <v>446</v>
      </c>
      <c r="G16" s="49" t="s">
        <v>447</v>
      </c>
      <c r="H16" s="52" t="s">
        <v>448</v>
      </c>
      <c r="I16" s="49" t="s">
        <v>335</v>
      </c>
      <c r="J16" s="52" t="s">
        <v>336</v>
      </c>
      <c r="K16" s="49" t="s">
        <v>337</v>
      </c>
      <c r="L16" s="49" t="s">
        <v>338</v>
      </c>
      <c r="M16" s="49" t="s">
        <v>376</v>
      </c>
      <c r="N16" s="49" t="s">
        <v>449</v>
      </c>
      <c r="O16" s="52" t="s">
        <v>448</v>
      </c>
      <c r="P16" s="49"/>
      <c r="Q16" s="49" t="s">
        <v>450</v>
      </c>
      <c r="R16" s="55" t="s">
        <v>451</v>
      </c>
    </row>
    <row r="17" spans="1:18" ht="208">
      <c r="A17" s="54" t="b">
        <v>0</v>
      </c>
      <c r="B17" s="68" t="s">
        <v>109</v>
      </c>
      <c r="C17" s="49" t="s">
        <v>329</v>
      </c>
      <c r="D17" s="49" t="s">
        <v>330</v>
      </c>
      <c r="E17" s="49" t="s">
        <v>452</v>
      </c>
      <c r="F17" s="49" t="s">
        <v>453</v>
      </c>
      <c r="G17" s="49" t="s">
        <v>454</v>
      </c>
      <c r="H17" s="52" t="s">
        <v>396</v>
      </c>
      <c r="I17" s="49" t="s">
        <v>335</v>
      </c>
      <c r="J17" s="52" t="s">
        <v>396</v>
      </c>
      <c r="K17" s="49" t="s">
        <v>337</v>
      </c>
      <c r="L17" s="49" t="s">
        <v>338</v>
      </c>
      <c r="M17" s="49" t="s">
        <v>376</v>
      </c>
      <c r="N17" s="49" t="s">
        <v>455</v>
      </c>
      <c r="O17" s="49" t="s">
        <v>456</v>
      </c>
      <c r="P17" s="49" t="s">
        <v>329</v>
      </c>
      <c r="Q17" s="49" t="s">
        <v>457</v>
      </c>
      <c r="R17" s="55" t="s">
        <v>458</v>
      </c>
    </row>
    <row r="18" spans="1:18" ht="409.6">
      <c r="A18" s="54" t="b">
        <v>0</v>
      </c>
      <c r="B18" s="68" t="s">
        <v>109</v>
      </c>
      <c r="C18" s="49" t="s">
        <v>329</v>
      </c>
      <c r="D18" s="49" t="s">
        <v>411</v>
      </c>
      <c r="E18" s="49" t="s">
        <v>459</v>
      </c>
      <c r="F18" s="49" t="s">
        <v>460</v>
      </c>
      <c r="G18" s="49" t="s">
        <v>461</v>
      </c>
      <c r="H18" s="52" t="s">
        <v>396</v>
      </c>
      <c r="I18" s="230">
        <v>1</v>
      </c>
      <c r="J18" s="52" t="s">
        <v>396</v>
      </c>
      <c r="K18" s="49" t="s">
        <v>337</v>
      </c>
      <c r="L18" s="49" t="s">
        <v>338</v>
      </c>
      <c r="M18" s="49" t="s">
        <v>376</v>
      </c>
      <c r="N18" s="49" t="s">
        <v>462</v>
      </c>
      <c r="O18" s="49" t="s">
        <v>456</v>
      </c>
      <c r="P18" s="49" t="s">
        <v>329</v>
      </c>
      <c r="Q18" s="49" t="s">
        <v>463</v>
      </c>
      <c r="R18" s="55" t="s">
        <v>464</v>
      </c>
    </row>
    <row r="19" spans="1:18" ht="332">
      <c r="A19" s="54" t="b">
        <v>0</v>
      </c>
      <c r="B19" s="68" t="s">
        <v>109</v>
      </c>
      <c r="C19" s="49" t="s">
        <v>329</v>
      </c>
      <c r="D19" s="49" t="s">
        <v>421</v>
      </c>
      <c r="E19" s="49" t="s">
        <v>465</v>
      </c>
      <c r="F19" s="49" t="s">
        <v>466</v>
      </c>
      <c r="G19" s="49" t="s">
        <v>467</v>
      </c>
      <c r="H19" s="52" t="s">
        <v>396</v>
      </c>
      <c r="I19" s="49" t="s">
        <v>254</v>
      </c>
      <c r="J19" s="52" t="s">
        <v>396</v>
      </c>
      <c r="K19" s="49" t="s">
        <v>337</v>
      </c>
      <c r="L19" s="49" t="s">
        <v>338</v>
      </c>
      <c r="M19" s="49" t="s">
        <v>376</v>
      </c>
      <c r="N19" s="49" t="s">
        <v>468</v>
      </c>
      <c r="O19" s="52" t="s">
        <v>469</v>
      </c>
      <c r="P19" s="49" t="s">
        <v>470</v>
      </c>
      <c r="Q19" s="49" t="s">
        <v>471</v>
      </c>
      <c r="R19" s="55" t="s">
        <v>472</v>
      </c>
    </row>
    <row r="20" spans="1:18" ht="246.75" customHeight="1">
      <c r="A20" s="56" t="b">
        <v>0</v>
      </c>
      <c r="B20" s="102" t="s">
        <v>83</v>
      </c>
      <c r="C20" s="57" t="s">
        <v>329</v>
      </c>
      <c r="D20" s="57" t="s">
        <v>473</v>
      </c>
      <c r="E20" s="57" t="s">
        <v>474</v>
      </c>
      <c r="F20" s="57" t="s">
        <v>475</v>
      </c>
      <c r="G20" s="57" t="s">
        <v>467</v>
      </c>
      <c r="H20" s="245" t="s">
        <v>396</v>
      </c>
      <c r="I20" s="57" t="s">
        <v>254</v>
      </c>
      <c r="J20" s="245" t="s">
        <v>396</v>
      </c>
      <c r="K20" s="57" t="s">
        <v>337</v>
      </c>
      <c r="L20" s="57" t="s">
        <v>338</v>
      </c>
      <c r="M20" s="57" t="s">
        <v>376</v>
      </c>
      <c r="N20" s="57" t="s">
        <v>476</v>
      </c>
      <c r="O20" s="245" t="s">
        <v>477</v>
      </c>
      <c r="P20" s="57" t="s">
        <v>329</v>
      </c>
      <c r="Q20" s="57" t="s">
        <v>478</v>
      </c>
      <c r="R20" s="283" t="s">
        <v>479</v>
      </c>
    </row>
    <row r="21" spans="1:18" ht="309.5" customHeight="1">
      <c r="A21" s="56" t="b">
        <v>0</v>
      </c>
      <c r="B21" s="102" t="s">
        <v>83</v>
      </c>
      <c r="C21" s="57" t="s">
        <v>329</v>
      </c>
      <c r="D21" s="57" t="s">
        <v>473</v>
      </c>
      <c r="E21" s="57" t="s">
        <v>480</v>
      </c>
      <c r="F21" s="57" t="s">
        <v>481</v>
      </c>
      <c r="G21" s="57" t="s">
        <v>467</v>
      </c>
      <c r="H21" s="245" t="s">
        <v>396</v>
      </c>
      <c r="I21" s="57" t="s">
        <v>254</v>
      </c>
      <c r="J21" s="245" t="s">
        <v>396</v>
      </c>
      <c r="K21" s="57" t="s">
        <v>337</v>
      </c>
      <c r="L21" s="57" t="s">
        <v>338</v>
      </c>
      <c r="M21" s="57" t="s">
        <v>376</v>
      </c>
      <c r="N21" s="57" t="s">
        <v>482</v>
      </c>
      <c r="O21" s="245" t="s">
        <v>483</v>
      </c>
      <c r="P21" s="57" t="s">
        <v>329</v>
      </c>
      <c r="Q21" s="57" t="s">
        <v>484</v>
      </c>
      <c r="R21" s="283" t="s">
        <v>485</v>
      </c>
    </row>
    <row r="22" spans="1:18" ht="244.5" customHeight="1">
      <c r="A22" s="56" t="b">
        <v>0</v>
      </c>
      <c r="B22" s="102" t="s">
        <v>83</v>
      </c>
      <c r="C22" s="57" t="s">
        <v>329</v>
      </c>
      <c r="D22" s="57" t="s">
        <v>473</v>
      </c>
      <c r="E22" s="57" t="s">
        <v>486</v>
      </c>
      <c r="F22" s="57" t="s">
        <v>487</v>
      </c>
      <c r="G22" s="57" t="s">
        <v>467</v>
      </c>
      <c r="H22" s="245" t="s">
        <v>396</v>
      </c>
      <c r="I22" s="57" t="s">
        <v>254</v>
      </c>
      <c r="J22" s="245" t="s">
        <v>396</v>
      </c>
      <c r="K22" s="57" t="s">
        <v>337</v>
      </c>
      <c r="L22" s="57" t="s">
        <v>338</v>
      </c>
      <c r="M22" s="57" t="s">
        <v>376</v>
      </c>
      <c r="N22" s="57" t="s">
        <v>488</v>
      </c>
      <c r="O22" s="282" t="s">
        <v>489</v>
      </c>
      <c r="P22" s="57" t="s">
        <v>329</v>
      </c>
      <c r="Q22" s="65" t="s">
        <v>490</v>
      </c>
      <c r="R22" s="283" t="s">
        <v>491</v>
      </c>
    </row>
    <row r="23" spans="1:18" ht="169">
      <c r="A23" s="56" t="b">
        <v>0</v>
      </c>
      <c r="B23" s="102" t="s">
        <v>83</v>
      </c>
      <c r="C23" s="57" t="s">
        <v>329</v>
      </c>
      <c r="D23" s="57" t="s">
        <v>330</v>
      </c>
      <c r="E23" s="57" t="s">
        <v>492</v>
      </c>
      <c r="F23" s="57" t="s">
        <v>267</v>
      </c>
      <c r="G23" s="57" t="s">
        <v>438</v>
      </c>
      <c r="H23" s="245" t="s">
        <v>396</v>
      </c>
      <c r="I23" s="57" t="s">
        <v>439</v>
      </c>
      <c r="J23" s="245" t="s">
        <v>396</v>
      </c>
      <c r="K23" s="57" t="s">
        <v>337</v>
      </c>
      <c r="L23" s="57" t="s">
        <v>338</v>
      </c>
      <c r="M23" s="57" t="s">
        <v>376</v>
      </c>
      <c r="N23" s="57" t="s">
        <v>493</v>
      </c>
      <c r="O23" s="245" t="s">
        <v>494</v>
      </c>
      <c r="P23" s="57" t="s">
        <v>329</v>
      </c>
      <c r="Q23" s="57" t="s">
        <v>495</v>
      </c>
      <c r="R23" s="283" t="s">
        <v>496</v>
      </c>
    </row>
    <row r="24" spans="1:18" ht="221">
      <c r="A24" s="56" t="b">
        <v>0</v>
      </c>
      <c r="B24" s="102" t="s">
        <v>83</v>
      </c>
      <c r="C24" s="57" t="s">
        <v>329</v>
      </c>
      <c r="D24" s="57" t="s">
        <v>330</v>
      </c>
      <c r="E24" s="57" t="s">
        <v>497</v>
      </c>
      <c r="F24" s="57" t="s">
        <v>498</v>
      </c>
      <c r="G24" s="57" t="s">
        <v>467</v>
      </c>
      <c r="H24" s="245" t="s">
        <v>396</v>
      </c>
      <c r="I24" s="57" t="s">
        <v>254</v>
      </c>
      <c r="J24" s="245" t="s">
        <v>396</v>
      </c>
      <c r="K24" s="57" t="s">
        <v>337</v>
      </c>
      <c r="L24" s="57" t="s">
        <v>338</v>
      </c>
      <c r="M24" s="57" t="s">
        <v>376</v>
      </c>
      <c r="N24" s="57" t="s">
        <v>499</v>
      </c>
      <c r="O24" s="245" t="s">
        <v>500</v>
      </c>
      <c r="P24" s="57" t="s">
        <v>329</v>
      </c>
      <c r="Q24" s="65" t="s">
        <v>501</v>
      </c>
      <c r="R24" s="283" t="s">
        <v>491</v>
      </c>
    </row>
    <row r="25" spans="1:18" ht="221">
      <c r="A25" s="56" t="b">
        <v>0</v>
      </c>
      <c r="B25" s="102" t="s">
        <v>83</v>
      </c>
      <c r="C25" s="57" t="s">
        <v>329</v>
      </c>
      <c r="D25" s="57" t="s">
        <v>421</v>
      </c>
      <c r="E25" s="57" t="s">
        <v>502</v>
      </c>
      <c r="F25" s="57" t="s">
        <v>503</v>
      </c>
      <c r="G25" s="57" t="s">
        <v>438</v>
      </c>
      <c r="H25" s="245" t="s">
        <v>396</v>
      </c>
      <c r="I25" s="57" t="s">
        <v>439</v>
      </c>
      <c r="J25" s="245" t="s">
        <v>396</v>
      </c>
      <c r="K25" s="57" t="s">
        <v>337</v>
      </c>
      <c r="L25" s="57" t="s">
        <v>338</v>
      </c>
      <c r="M25" s="57" t="s">
        <v>376</v>
      </c>
      <c r="N25" s="57" t="s">
        <v>504</v>
      </c>
      <c r="O25" s="245" t="s">
        <v>505</v>
      </c>
      <c r="P25" s="57" t="s">
        <v>329</v>
      </c>
      <c r="Q25" s="57" t="s">
        <v>506</v>
      </c>
      <c r="R25" s="66" t="s">
        <v>507</v>
      </c>
    </row>
    <row r="26" spans="1:18" ht="234">
      <c r="A26" s="56" t="b">
        <v>0</v>
      </c>
      <c r="B26" s="102" t="s">
        <v>83</v>
      </c>
      <c r="C26" s="57" t="s">
        <v>329</v>
      </c>
      <c r="D26" s="57" t="s">
        <v>402</v>
      </c>
      <c r="E26" s="57" t="s">
        <v>508</v>
      </c>
      <c r="F26" s="57" t="s">
        <v>509</v>
      </c>
      <c r="G26" s="57" t="s">
        <v>438</v>
      </c>
      <c r="H26" s="245" t="s">
        <v>396</v>
      </c>
      <c r="I26" s="57" t="s">
        <v>439</v>
      </c>
      <c r="J26" s="245" t="s">
        <v>396</v>
      </c>
      <c r="K26" s="57" t="s">
        <v>337</v>
      </c>
      <c r="L26" s="57" t="s">
        <v>338</v>
      </c>
      <c r="M26" s="57" t="s">
        <v>376</v>
      </c>
      <c r="N26" s="57" t="s">
        <v>510</v>
      </c>
      <c r="O26" s="245" t="s">
        <v>511</v>
      </c>
      <c r="P26" s="57" t="s">
        <v>329</v>
      </c>
      <c r="Q26" s="57" t="s">
        <v>512</v>
      </c>
      <c r="R26" s="283" t="s">
        <v>513</v>
      </c>
    </row>
    <row r="27" spans="1:18" ht="208">
      <c r="A27" s="56" t="b">
        <v>0</v>
      </c>
      <c r="B27" s="102" t="s">
        <v>83</v>
      </c>
      <c r="C27" s="57" t="s">
        <v>329</v>
      </c>
      <c r="D27" s="57" t="s">
        <v>330</v>
      </c>
      <c r="E27" s="57" t="s">
        <v>514</v>
      </c>
      <c r="F27" s="57" t="s">
        <v>271</v>
      </c>
      <c r="G27" s="57" t="s">
        <v>438</v>
      </c>
      <c r="H27" s="245" t="s">
        <v>396</v>
      </c>
      <c r="I27" s="57" t="s">
        <v>439</v>
      </c>
      <c r="J27" s="245" t="s">
        <v>396</v>
      </c>
      <c r="K27" s="57" t="s">
        <v>337</v>
      </c>
      <c r="L27" s="57" t="s">
        <v>349</v>
      </c>
      <c r="M27" s="57" t="s">
        <v>376</v>
      </c>
      <c r="N27" s="57" t="s">
        <v>515</v>
      </c>
      <c r="O27" s="245" t="s">
        <v>375</v>
      </c>
      <c r="P27" s="57" t="s">
        <v>329</v>
      </c>
      <c r="Q27" s="57" t="s">
        <v>516</v>
      </c>
      <c r="R27" s="283" t="s">
        <v>517</v>
      </c>
    </row>
    <row r="28" spans="1:18" ht="130.5" customHeight="1">
      <c r="A28" s="67" t="b">
        <v>0</v>
      </c>
      <c r="B28" s="68" t="s">
        <v>77</v>
      </c>
      <c r="C28" s="49" t="s">
        <v>518</v>
      </c>
      <c r="D28" s="49" t="s">
        <v>519</v>
      </c>
      <c r="E28" s="49" t="s">
        <v>520</v>
      </c>
      <c r="F28" s="298" t="s">
        <v>521</v>
      </c>
      <c r="G28" s="298" t="s">
        <v>522</v>
      </c>
      <c r="H28" s="299" t="s">
        <v>523</v>
      </c>
      <c r="I28" s="298" t="s">
        <v>406</v>
      </c>
      <c r="J28" s="299" t="s">
        <v>523</v>
      </c>
      <c r="K28" s="49" t="s">
        <v>337</v>
      </c>
      <c r="L28" s="49" t="s">
        <v>388</v>
      </c>
      <c r="M28" s="298" t="s">
        <v>524</v>
      </c>
      <c r="N28" s="49" t="s">
        <v>525</v>
      </c>
      <c r="O28" s="299" t="s">
        <v>526</v>
      </c>
      <c r="P28" s="298" t="s">
        <v>527</v>
      </c>
      <c r="Q28" s="298" t="s">
        <v>528</v>
      </c>
      <c r="R28" s="300" t="s">
        <v>529</v>
      </c>
    </row>
    <row r="29" spans="1:18" ht="128.5" customHeight="1">
      <c r="A29" s="54" t="b">
        <v>0</v>
      </c>
      <c r="B29" s="68" t="s">
        <v>77</v>
      </c>
      <c r="C29" s="49" t="s">
        <v>518</v>
      </c>
      <c r="D29" s="49" t="s">
        <v>519</v>
      </c>
      <c r="E29" s="49" t="s">
        <v>520</v>
      </c>
      <c r="F29" s="69" t="s">
        <v>530</v>
      </c>
      <c r="G29" s="298" t="s">
        <v>531</v>
      </c>
      <c r="H29" s="299" t="s">
        <v>523</v>
      </c>
      <c r="I29" s="298" t="s">
        <v>406</v>
      </c>
      <c r="J29" s="299" t="s">
        <v>523</v>
      </c>
      <c r="K29" s="49" t="s">
        <v>337</v>
      </c>
      <c r="L29" s="49" t="s">
        <v>388</v>
      </c>
      <c r="M29" s="298" t="s">
        <v>524</v>
      </c>
      <c r="N29" s="49" t="s">
        <v>532</v>
      </c>
      <c r="O29" s="299" t="s">
        <v>533</v>
      </c>
      <c r="P29" s="298" t="s">
        <v>534</v>
      </c>
      <c r="Q29" s="298" t="s">
        <v>535</v>
      </c>
      <c r="R29" s="300" t="s">
        <v>529</v>
      </c>
    </row>
    <row r="30" spans="1:18" s="75" customFormat="1" ht="130">
      <c r="A30" s="74" t="b">
        <v>0</v>
      </c>
      <c r="B30" s="102" t="s">
        <v>89</v>
      </c>
      <c r="C30" s="57" t="s">
        <v>518</v>
      </c>
      <c r="D30" s="57" t="s">
        <v>519</v>
      </c>
      <c r="E30" s="57" t="s">
        <v>536</v>
      </c>
      <c r="F30" s="301" t="s">
        <v>309</v>
      </c>
      <c r="G30" s="57" t="s">
        <v>438</v>
      </c>
      <c r="H30" s="282" t="s">
        <v>523</v>
      </c>
      <c r="I30" s="57" t="s">
        <v>439</v>
      </c>
      <c r="J30" s="282" t="s">
        <v>523</v>
      </c>
      <c r="K30" s="57" t="s">
        <v>337</v>
      </c>
      <c r="L30" s="57" t="s">
        <v>338</v>
      </c>
      <c r="M30" s="57" t="s">
        <v>537</v>
      </c>
      <c r="N30" s="57" t="s">
        <v>538</v>
      </c>
      <c r="O30" s="282" t="s">
        <v>539</v>
      </c>
      <c r="P30" s="57" t="s">
        <v>527</v>
      </c>
      <c r="Q30" s="57" t="s">
        <v>540</v>
      </c>
      <c r="R30" s="302" t="s">
        <v>541</v>
      </c>
    </row>
    <row r="31" spans="1:18" s="75" customFormat="1" ht="130">
      <c r="A31" s="74" t="b">
        <v>0</v>
      </c>
      <c r="B31" s="102" t="s">
        <v>89</v>
      </c>
      <c r="C31" s="57" t="s">
        <v>518</v>
      </c>
      <c r="D31" s="57" t="s">
        <v>542</v>
      </c>
      <c r="E31" s="57" t="s">
        <v>543</v>
      </c>
      <c r="F31" s="301" t="s">
        <v>544</v>
      </c>
      <c r="G31" s="57" t="s">
        <v>545</v>
      </c>
      <c r="H31" s="282" t="s">
        <v>546</v>
      </c>
      <c r="I31" s="57" t="s">
        <v>547</v>
      </c>
      <c r="J31" s="282" t="s">
        <v>546</v>
      </c>
      <c r="K31" s="57" t="s">
        <v>337</v>
      </c>
      <c r="L31" s="57" t="s">
        <v>338</v>
      </c>
      <c r="M31" s="57" t="s">
        <v>548</v>
      </c>
      <c r="N31" s="57" t="s">
        <v>549</v>
      </c>
      <c r="O31" s="282" t="s">
        <v>546</v>
      </c>
      <c r="P31" s="57" t="s">
        <v>534</v>
      </c>
      <c r="Q31" s="57" t="s">
        <v>550</v>
      </c>
      <c r="R31" s="302" t="s">
        <v>551</v>
      </c>
    </row>
    <row r="32" spans="1:18" s="75" customFormat="1" ht="182">
      <c r="A32" s="74" t="b">
        <v>0</v>
      </c>
      <c r="B32" s="102" t="s">
        <v>89</v>
      </c>
      <c r="C32" s="57" t="s">
        <v>518</v>
      </c>
      <c r="D32" s="57" t="s">
        <v>542</v>
      </c>
      <c r="E32" s="57" t="s">
        <v>552</v>
      </c>
      <c r="F32" s="301" t="s">
        <v>553</v>
      </c>
      <c r="G32" s="57" t="s">
        <v>554</v>
      </c>
      <c r="H32" s="282" t="s">
        <v>546</v>
      </c>
      <c r="I32" s="57" t="s">
        <v>547</v>
      </c>
      <c r="J32" s="282" t="s">
        <v>546</v>
      </c>
      <c r="K32" s="57" t="s">
        <v>337</v>
      </c>
      <c r="L32" s="57" t="s">
        <v>338</v>
      </c>
      <c r="M32" s="57" t="s">
        <v>548</v>
      </c>
      <c r="N32" s="57" t="s">
        <v>555</v>
      </c>
      <c r="O32" s="282" t="s">
        <v>546</v>
      </c>
      <c r="P32" s="57" t="s">
        <v>534</v>
      </c>
      <c r="Q32" s="57" t="s">
        <v>556</v>
      </c>
      <c r="R32" s="302" t="s">
        <v>551</v>
      </c>
    </row>
    <row r="33" spans="1:18" ht="171" customHeight="1">
      <c r="A33" s="54" t="b">
        <v>0</v>
      </c>
      <c r="B33" s="68" t="s">
        <v>109</v>
      </c>
      <c r="C33" s="49" t="s">
        <v>518</v>
      </c>
      <c r="D33" s="49" t="s">
        <v>542</v>
      </c>
      <c r="E33" s="49" t="s">
        <v>557</v>
      </c>
      <c r="F33" s="69" t="s">
        <v>305</v>
      </c>
      <c r="G33" s="69" t="s">
        <v>438</v>
      </c>
      <c r="H33" s="52" t="s">
        <v>558</v>
      </c>
      <c r="I33" s="69" t="s">
        <v>439</v>
      </c>
      <c r="J33" s="52" t="s">
        <v>558</v>
      </c>
      <c r="K33" s="49" t="s">
        <v>407</v>
      </c>
      <c r="L33" s="49" t="s">
        <v>349</v>
      </c>
      <c r="M33" s="49" t="s">
        <v>537</v>
      </c>
      <c r="N33" s="49" t="s">
        <v>559</v>
      </c>
      <c r="O33" s="52" t="s">
        <v>560</v>
      </c>
      <c r="P33" s="49" t="s">
        <v>527</v>
      </c>
      <c r="Q33" s="49" t="s">
        <v>561</v>
      </c>
      <c r="R33" s="55" t="s">
        <v>562</v>
      </c>
    </row>
    <row r="34" spans="1:18" ht="171" customHeight="1">
      <c r="A34" s="54" t="b">
        <v>0</v>
      </c>
      <c r="B34" s="68" t="s">
        <v>109</v>
      </c>
      <c r="C34" s="49" t="s">
        <v>518</v>
      </c>
      <c r="D34" s="49" t="s">
        <v>563</v>
      </c>
      <c r="E34" s="49" t="s">
        <v>564</v>
      </c>
      <c r="F34" s="69" t="s">
        <v>565</v>
      </c>
      <c r="G34" s="230" t="s">
        <v>566</v>
      </c>
      <c r="H34" s="299" t="s">
        <v>523</v>
      </c>
      <c r="I34" s="298" t="s">
        <v>347</v>
      </c>
      <c r="J34" s="299" t="s">
        <v>523</v>
      </c>
      <c r="K34" s="49" t="s">
        <v>337</v>
      </c>
      <c r="L34" s="49" t="s">
        <v>349</v>
      </c>
      <c r="M34" s="49" t="s">
        <v>537</v>
      </c>
      <c r="N34" s="49" t="s">
        <v>567</v>
      </c>
      <c r="O34" s="52" t="s">
        <v>568</v>
      </c>
      <c r="P34" s="49" t="s">
        <v>569</v>
      </c>
      <c r="Q34" s="49" t="s">
        <v>570</v>
      </c>
      <c r="R34" s="55" t="s">
        <v>571</v>
      </c>
    </row>
    <row r="35" spans="1:18" ht="156">
      <c r="A35" s="56" t="b">
        <v>0</v>
      </c>
      <c r="B35" s="102" t="s">
        <v>83</v>
      </c>
      <c r="C35" s="57" t="s">
        <v>518</v>
      </c>
      <c r="D35" s="57" t="s">
        <v>519</v>
      </c>
      <c r="E35" s="65" t="s">
        <v>572</v>
      </c>
      <c r="F35" s="70" t="s">
        <v>307</v>
      </c>
      <c r="G35" s="57" t="s">
        <v>438</v>
      </c>
      <c r="H35" s="245" t="s">
        <v>573</v>
      </c>
      <c r="I35" s="57" t="s">
        <v>439</v>
      </c>
      <c r="J35" s="245" t="s">
        <v>574</v>
      </c>
      <c r="K35" s="57" t="s">
        <v>407</v>
      </c>
      <c r="L35" s="57" t="s">
        <v>349</v>
      </c>
      <c r="M35" s="57" t="s">
        <v>537</v>
      </c>
      <c r="N35" s="57" t="s">
        <v>575</v>
      </c>
      <c r="O35" s="245" t="s">
        <v>574</v>
      </c>
      <c r="P35" s="57" t="s">
        <v>534</v>
      </c>
      <c r="Q35" s="57" t="s">
        <v>576</v>
      </c>
      <c r="R35" s="283" t="s">
        <v>577</v>
      </c>
    </row>
    <row r="36" spans="1:18" ht="182">
      <c r="A36" s="58" t="b">
        <v>0</v>
      </c>
      <c r="B36" s="102" t="s">
        <v>83</v>
      </c>
      <c r="C36" s="59" t="s">
        <v>518</v>
      </c>
      <c r="D36" s="59" t="s">
        <v>542</v>
      </c>
      <c r="E36" s="59" t="s">
        <v>578</v>
      </c>
      <c r="F36" s="71" t="s">
        <v>311</v>
      </c>
      <c r="G36" s="57" t="s">
        <v>438</v>
      </c>
      <c r="H36" s="303" t="s">
        <v>579</v>
      </c>
      <c r="I36" s="57" t="s">
        <v>439</v>
      </c>
      <c r="J36" s="303" t="s">
        <v>579</v>
      </c>
      <c r="K36" s="59" t="s">
        <v>337</v>
      </c>
      <c r="L36" s="59" t="s">
        <v>349</v>
      </c>
      <c r="M36" s="59" t="s">
        <v>537</v>
      </c>
      <c r="N36" s="59" t="s">
        <v>580</v>
      </c>
      <c r="O36" s="297" t="s">
        <v>581</v>
      </c>
      <c r="P36" s="59" t="s">
        <v>534</v>
      </c>
      <c r="Q36" s="59" t="s">
        <v>582</v>
      </c>
      <c r="R36" s="304" t="s">
        <v>583</v>
      </c>
    </row>
    <row r="37" spans="1:18" ht="13">
      <c r="A37" s="10"/>
      <c r="B37" s="305"/>
      <c r="C37" s="10"/>
      <c r="D37" s="10"/>
      <c r="E37" s="10"/>
      <c r="F37" s="14"/>
      <c r="G37" s="10"/>
      <c r="H37" s="10"/>
      <c r="I37" s="306"/>
      <c r="J37" s="10"/>
      <c r="K37" s="10"/>
      <c r="L37" s="10"/>
      <c r="M37" s="10"/>
      <c r="N37" s="10"/>
      <c r="O37" s="307"/>
      <c r="P37" s="10"/>
      <c r="Q37" s="10"/>
      <c r="R37" s="10"/>
    </row>
    <row r="43" spans="1:18" ht="15.75" customHeight="1">
      <c r="Q43" s="90" t="s">
        <v>584</v>
      </c>
    </row>
  </sheetData>
  <dataValidations count="1">
    <dataValidation type="list" allowBlank="1" showErrorMessage="1" sqref="C3:C36" xr:uid="{00000000-0002-0000-0400-000000000000}">
      <formula1>"Human Resources,Credit "</formula1>
    </dataValidation>
  </dataValidations>
  <hyperlinks>
    <hyperlink ref="H3" r:id="rId1" xr:uid="{00000000-0004-0000-0400-000000000000}"/>
    <hyperlink ref="J3" r:id="rId2" xr:uid="{00000000-0004-0000-0400-000001000000}"/>
    <hyperlink ref="O3" r:id="rId3" xr:uid="{00000000-0004-0000-0400-000002000000}"/>
    <hyperlink ref="R3" r:id="rId4" xr:uid="{00000000-0004-0000-0400-000003000000}"/>
    <hyperlink ref="H4" r:id="rId5" xr:uid="{00000000-0004-0000-0400-000004000000}"/>
    <hyperlink ref="J4" r:id="rId6" xr:uid="{00000000-0004-0000-0400-000005000000}"/>
    <hyperlink ref="O4" r:id="rId7" location="/" xr:uid="{00000000-0004-0000-0400-000006000000}"/>
    <hyperlink ref="R4" r:id="rId8" xr:uid="{00000000-0004-0000-0400-000007000000}"/>
    <hyperlink ref="H5" r:id="rId9" xr:uid="{00000000-0004-0000-0400-000008000000}"/>
    <hyperlink ref="J5" r:id="rId10" xr:uid="{00000000-0004-0000-0400-000009000000}"/>
    <hyperlink ref="O5" r:id="rId11" location="/" xr:uid="{00000000-0004-0000-0400-00000A000000}"/>
    <hyperlink ref="R5" r:id="rId12" xr:uid="{00000000-0004-0000-0400-00000B000000}"/>
    <hyperlink ref="H6" r:id="rId13" xr:uid="{00000000-0004-0000-0400-00000C000000}"/>
    <hyperlink ref="J6" r:id="rId14" xr:uid="{00000000-0004-0000-0400-00000D000000}"/>
    <hyperlink ref="O6" r:id="rId15" location="/" xr:uid="{00000000-0004-0000-0400-00000E000000}"/>
    <hyperlink ref="R6" r:id="rId16" xr:uid="{00000000-0004-0000-0400-00000F000000}"/>
    <hyperlink ref="H7" r:id="rId17" xr:uid="{00000000-0004-0000-0400-000010000000}"/>
    <hyperlink ref="J7" r:id="rId18" xr:uid="{00000000-0004-0000-0400-000011000000}"/>
    <hyperlink ref="O7" r:id="rId19" location="/" xr:uid="{00000000-0004-0000-0400-000012000000}"/>
    <hyperlink ref="R7" r:id="rId20" xr:uid="{00000000-0004-0000-0400-000013000000}"/>
    <hyperlink ref="H8" r:id="rId21" xr:uid="{00000000-0004-0000-0400-000014000000}"/>
    <hyperlink ref="J8" r:id="rId22" xr:uid="{00000000-0004-0000-0400-000015000000}"/>
    <hyperlink ref="O8" r:id="rId23" location="/" xr:uid="{00000000-0004-0000-0400-000016000000}"/>
    <hyperlink ref="R8" r:id="rId24" xr:uid="{00000000-0004-0000-0400-000017000000}"/>
    <hyperlink ref="H9" r:id="rId25" xr:uid="{00000000-0004-0000-0400-000018000000}"/>
    <hyperlink ref="J9" r:id="rId26" xr:uid="{00000000-0004-0000-0400-000019000000}"/>
    <hyperlink ref="O9" r:id="rId27" xr:uid="{00000000-0004-0000-0400-00001A000000}"/>
    <hyperlink ref="R9" r:id="rId28" xr:uid="{00000000-0004-0000-0400-00001B000000}"/>
    <hyperlink ref="H10" r:id="rId29" xr:uid="{00000000-0004-0000-0400-00001C000000}"/>
    <hyperlink ref="J10" r:id="rId30" xr:uid="{00000000-0004-0000-0400-00001D000000}"/>
    <hyperlink ref="O10" r:id="rId31" xr:uid="{00000000-0004-0000-0400-00001E000000}"/>
    <hyperlink ref="R10" r:id="rId32" xr:uid="{00000000-0004-0000-0400-00001F000000}"/>
    <hyperlink ref="H11" r:id="rId33" xr:uid="{00000000-0004-0000-0400-000020000000}"/>
    <hyperlink ref="J11" r:id="rId34" xr:uid="{00000000-0004-0000-0400-000021000000}"/>
    <hyperlink ref="O11" r:id="rId35" xr:uid="{00000000-0004-0000-0400-000022000000}"/>
    <hyperlink ref="R11" r:id="rId36" xr:uid="{00000000-0004-0000-0400-000023000000}"/>
    <hyperlink ref="H12" r:id="rId37" xr:uid="{00000000-0004-0000-0400-000024000000}"/>
    <hyperlink ref="J12" r:id="rId38" xr:uid="{00000000-0004-0000-0400-000025000000}"/>
    <hyperlink ref="O12" r:id="rId39" location="/" xr:uid="{00000000-0004-0000-0400-000026000000}"/>
    <hyperlink ref="R12" r:id="rId40" xr:uid="{00000000-0004-0000-0400-000027000000}"/>
    <hyperlink ref="H13" r:id="rId41" xr:uid="{00000000-0004-0000-0400-000028000000}"/>
    <hyperlink ref="J13" r:id="rId42" display="Why Paid Family Leave Is Good Business_x000a__x000a_Paid Parental Leave and Female Faculty Retention_x000a__x000a_Buzzfeed’s Parental Leave Benefits Result In 95% Retention Rate_x000a__x000a_93% of women remain with the comapny after 12 months of maternity leave" xr:uid="{00000000-0004-0000-0400-000029000000}"/>
    <hyperlink ref="O13" r:id="rId43" xr:uid="{00000000-0004-0000-0400-00002A000000}"/>
    <hyperlink ref="R13" r:id="rId44" xr:uid="{00000000-0004-0000-0400-00002B000000}"/>
    <hyperlink ref="H14" r:id="rId45" xr:uid="{00000000-0004-0000-0400-00002C000000}"/>
    <hyperlink ref="J14" r:id="rId46" xr:uid="{00000000-0004-0000-0400-00002D000000}"/>
    <hyperlink ref="O14" r:id="rId47" xr:uid="{00000000-0004-0000-0400-00002E000000}"/>
    <hyperlink ref="R14" r:id="rId48" xr:uid="{00000000-0004-0000-0400-00002F000000}"/>
    <hyperlink ref="H15" r:id="rId49" xr:uid="{00000000-0004-0000-0400-000030000000}"/>
    <hyperlink ref="J15" r:id="rId50" xr:uid="{00000000-0004-0000-0400-000031000000}"/>
    <hyperlink ref="O15" r:id="rId51" xr:uid="{00000000-0004-0000-0400-000032000000}"/>
    <hyperlink ref="R15" r:id="rId52" xr:uid="{00000000-0004-0000-0400-000033000000}"/>
    <hyperlink ref="H16" r:id="rId53" xr:uid="{00000000-0004-0000-0400-000034000000}"/>
    <hyperlink ref="J16" r:id="rId54" xr:uid="{00000000-0004-0000-0400-000035000000}"/>
    <hyperlink ref="O16" r:id="rId55" xr:uid="{00000000-0004-0000-0400-000036000000}"/>
    <hyperlink ref="R16" r:id="rId56" xr:uid="{00000000-0004-0000-0400-000037000000}"/>
    <hyperlink ref="H17" r:id="rId57" xr:uid="{00000000-0004-0000-0400-000038000000}"/>
    <hyperlink ref="J17" r:id="rId58" xr:uid="{00000000-0004-0000-0400-000039000000}"/>
    <hyperlink ref="R17" r:id="rId59" xr:uid="{00000000-0004-0000-0400-00003A000000}"/>
    <hyperlink ref="H18" r:id="rId60" xr:uid="{00000000-0004-0000-0400-00003B000000}"/>
    <hyperlink ref="J18" r:id="rId61" xr:uid="{00000000-0004-0000-0400-00003C000000}"/>
    <hyperlink ref="R18" r:id="rId62" xr:uid="{00000000-0004-0000-0400-00003D000000}"/>
    <hyperlink ref="H19" r:id="rId63" xr:uid="{00000000-0004-0000-0400-00003E000000}"/>
    <hyperlink ref="J19" r:id="rId64" xr:uid="{00000000-0004-0000-0400-00003F000000}"/>
    <hyperlink ref="O19" r:id="rId65" xr:uid="{00000000-0004-0000-0400-000040000000}"/>
    <hyperlink ref="R19" r:id="rId66" xr:uid="{00000000-0004-0000-0400-000041000000}"/>
    <hyperlink ref="H20" r:id="rId67" xr:uid="{00000000-0004-0000-0400-000042000000}"/>
    <hyperlink ref="J20" r:id="rId68" xr:uid="{00000000-0004-0000-0400-000043000000}"/>
    <hyperlink ref="O20" r:id="rId69" xr:uid="{00000000-0004-0000-0400-000044000000}"/>
    <hyperlink ref="R20" r:id="rId70" xr:uid="{00000000-0004-0000-0400-000045000000}"/>
    <hyperlink ref="H21" r:id="rId71" xr:uid="{00000000-0004-0000-0400-000046000000}"/>
    <hyperlink ref="J21" r:id="rId72" xr:uid="{00000000-0004-0000-0400-000047000000}"/>
    <hyperlink ref="O21" r:id="rId73" xr:uid="{00000000-0004-0000-0400-000048000000}"/>
    <hyperlink ref="R21" r:id="rId74" xr:uid="{00000000-0004-0000-0400-000049000000}"/>
    <hyperlink ref="H22" r:id="rId75" xr:uid="{00000000-0004-0000-0400-00004A000000}"/>
    <hyperlink ref="J22" r:id="rId76" xr:uid="{00000000-0004-0000-0400-00004B000000}"/>
    <hyperlink ref="O22" r:id="rId77" xr:uid="{00000000-0004-0000-0400-00004C000000}"/>
    <hyperlink ref="R22" r:id="rId78" xr:uid="{00000000-0004-0000-0400-00004D000000}"/>
    <hyperlink ref="H23" r:id="rId79" xr:uid="{00000000-0004-0000-0400-00004E000000}"/>
    <hyperlink ref="J23" r:id="rId80" xr:uid="{00000000-0004-0000-0400-00004F000000}"/>
    <hyperlink ref="O23" r:id="rId81" xr:uid="{00000000-0004-0000-0400-000050000000}"/>
    <hyperlink ref="R23" r:id="rId82" xr:uid="{00000000-0004-0000-0400-000051000000}"/>
    <hyperlink ref="H24" r:id="rId83" xr:uid="{00000000-0004-0000-0400-000052000000}"/>
    <hyperlink ref="J24" r:id="rId84" xr:uid="{00000000-0004-0000-0400-000053000000}"/>
    <hyperlink ref="O24" r:id="rId85" xr:uid="{00000000-0004-0000-0400-000054000000}"/>
    <hyperlink ref="R24" r:id="rId86" xr:uid="{00000000-0004-0000-0400-000055000000}"/>
    <hyperlink ref="H25" r:id="rId87" xr:uid="{00000000-0004-0000-0400-000056000000}"/>
    <hyperlink ref="J25" r:id="rId88" xr:uid="{00000000-0004-0000-0400-000057000000}"/>
    <hyperlink ref="O25" r:id="rId89" xr:uid="{00000000-0004-0000-0400-000058000000}"/>
    <hyperlink ref="R25" r:id="rId90" xr:uid="{00000000-0004-0000-0400-000059000000}"/>
    <hyperlink ref="H26" r:id="rId91" xr:uid="{00000000-0004-0000-0400-00005A000000}"/>
    <hyperlink ref="J26" r:id="rId92" xr:uid="{00000000-0004-0000-0400-00005B000000}"/>
    <hyperlink ref="O26" r:id="rId93" xr:uid="{00000000-0004-0000-0400-00005C000000}"/>
    <hyperlink ref="R26" r:id="rId94" xr:uid="{00000000-0004-0000-0400-00005D000000}"/>
    <hyperlink ref="H27" r:id="rId95" xr:uid="{00000000-0004-0000-0400-00005E000000}"/>
    <hyperlink ref="J27" r:id="rId96" xr:uid="{00000000-0004-0000-0400-00005F000000}"/>
    <hyperlink ref="O27" r:id="rId97" xr:uid="{00000000-0004-0000-0400-000060000000}"/>
    <hyperlink ref="R27" r:id="rId98" xr:uid="{00000000-0004-0000-0400-000061000000}"/>
    <hyperlink ref="H28" r:id="rId99" xr:uid="{00000000-0004-0000-0400-000062000000}"/>
    <hyperlink ref="J28" r:id="rId100" xr:uid="{00000000-0004-0000-0400-000063000000}"/>
    <hyperlink ref="O28" r:id="rId101" xr:uid="{00000000-0004-0000-0400-000064000000}"/>
    <hyperlink ref="R28" r:id="rId102" xr:uid="{00000000-0004-0000-0400-000065000000}"/>
    <hyperlink ref="H29" r:id="rId103" xr:uid="{00000000-0004-0000-0400-000066000000}"/>
    <hyperlink ref="J29" r:id="rId104" xr:uid="{00000000-0004-0000-0400-000067000000}"/>
    <hyperlink ref="O29" r:id="rId105" xr:uid="{00000000-0004-0000-0400-000068000000}"/>
    <hyperlink ref="R29" r:id="rId106" xr:uid="{00000000-0004-0000-0400-000069000000}"/>
    <hyperlink ref="H30" r:id="rId107" xr:uid="{00000000-0004-0000-0400-00006A000000}"/>
    <hyperlink ref="J30" r:id="rId108" xr:uid="{00000000-0004-0000-0400-00006B000000}"/>
    <hyperlink ref="O30" r:id="rId109" xr:uid="{00000000-0004-0000-0400-00006C000000}"/>
    <hyperlink ref="R30" r:id="rId110" xr:uid="{00000000-0004-0000-0400-00006D000000}"/>
    <hyperlink ref="H31" r:id="rId111" xr:uid="{00000000-0004-0000-0400-000076000000}"/>
    <hyperlink ref="J31" r:id="rId112" xr:uid="{00000000-0004-0000-0400-000077000000}"/>
    <hyperlink ref="O31" r:id="rId113" xr:uid="{00000000-0004-0000-0400-000078000000}"/>
    <hyperlink ref="R31" r:id="rId114" xr:uid="{00000000-0004-0000-0400-000079000000}"/>
    <hyperlink ref="H32" r:id="rId115" xr:uid="{00000000-0004-0000-0400-000082000000}"/>
    <hyperlink ref="J32" r:id="rId116" xr:uid="{00000000-0004-0000-0400-000083000000}"/>
    <hyperlink ref="O32" r:id="rId117" xr:uid="{00000000-0004-0000-0400-000084000000}"/>
    <hyperlink ref="R32" r:id="rId118" xr:uid="{00000000-0004-0000-0400-000085000000}"/>
    <hyperlink ref="H33" r:id="rId119" xr:uid="{00000000-0004-0000-0400-000086000000}"/>
    <hyperlink ref="J33" r:id="rId120" xr:uid="{00000000-0004-0000-0400-000087000000}"/>
    <hyperlink ref="O33" r:id="rId121" xr:uid="{00000000-0004-0000-0400-000088000000}"/>
    <hyperlink ref="R33" r:id="rId122" xr:uid="{00000000-0004-0000-0400-000089000000}"/>
    <hyperlink ref="H34" r:id="rId123" xr:uid="{00000000-0004-0000-0400-00008A000000}"/>
    <hyperlink ref="J34" r:id="rId124" xr:uid="{00000000-0004-0000-0400-00008B000000}"/>
    <hyperlink ref="O34" r:id="rId125" display="A. Blanco-Oliver, A. Samaniego, M.J. Palacin-Sanchez,  How do loan officer-borrower gender-driven behavioural differences impact on the microfinance lending market?,  Borsa Istanbul Review,  Volume 24, Issue 3,  2024,  Pages 435-448,  ISSN 2214-8450_x000a__x000a_Beck" xr:uid="{00000000-0004-0000-0400-00008C000000}"/>
    <hyperlink ref="R34" r:id="rId126" xr:uid="{00000000-0004-0000-0400-00008D000000}"/>
    <hyperlink ref="H35" r:id="rId127" xr:uid="{00000000-0004-0000-0400-00008E000000}"/>
    <hyperlink ref="J35" r:id="rId128" xr:uid="{00000000-0004-0000-0400-00008F000000}"/>
    <hyperlink ref="O35" r:id="rId129" xr:uid="{00000000-0004-0000-0400-000090000000}"/>
    <hyperlink ref="R35" r:id="rId130" xr:uid="{00000000-0004-0000-0400-000091000000}"/>
    <hyperlink ref="H36" r:id="rId131" xr:uid="{00000000-0004-0000-0400-000092000000}"/>
    <hyperlink ref="J36" r:id="rId132" xr:uid="{00000000-0004-0000-0400-000093000000}"/>
    <hyperlink ref="O36" r:id="rId133" xr:uid="{00000000-0004-0000-0400-000094000000}"/>
    <hyperlink ref="R36" r:id="rId134" xr:uid="{00000000-0004-0000-0400-000095000000}"/>
  </hyperlinks>
  <printOptions horizontalCentered="1" gridLines="1"/>
  <pageMargins left="0.7" right="0.7" top="0.75" bottom="0.75" header="0" footer="0"/>
  <pageSetup scale="35" fitToHeight="0" pageOrder="overThenDown" orientation="landscape" cellComments="atEnd" r:id="rId135"/>
  <legacyDrawing r:id="rId13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4C655-01C8-46A0-A67D-12557C9C2A39}">
  <sheetPr codeName="Sheet4">
    <tabColor theme="6" tint="0.79998168889431442"/>
  </sheetPr>
  <dimension ref="A1:N60"/>
  <sheetViews>
    <sheetView showGridLines="0" view="pageBreakPreview" topLeftCell="B1" zoomScale="99" zoomScaleNormal="96" zoomScaleSheetLayoutView="99" workbookViewId="0">
      <selection activeCell="B1" sqref="B1"/>
    </sheetView>
  </sheetViews>
  <sheetFormatPr baseColWidth="10" defaultColWidth="8.83203125" defaultRowHeight="13" outlineLevelRow="1"/>
  <cols>
    <col min="1" max="1" width="28.1640625" customWidth="1"/>
    <col min="2" max="2" width="46.5" style="83" customWidth="1"/>
    <col min="3" max="4" width="13.83203125" style="85" customWidth="1"/>
    <col min="5" max="6" width="13.1640625" style="85" customWidth="1"/>
    <col min="7" max="7" width="9.5" customWidth="1"/>
    <col min="8" max="8" width="15" customWidth="1"/>
    <col min="9" max="9" width="23.5" style="75" customWidth="1"/>
    <col min="11" max="11" width="29.5" customWidth="1"/>
    <col min="12" max="14" width="9.5" bestFit="1" customWidth="1"/>
  </cols>
  <sheetData>
    <row r="1" spans="1:14">
      <c r="A1" s="247" t="e" vm="1">
        <v>#VALUE!</v>
      </c>
      <c r="C1"/>
      <c r="D1"/>
      <c r="E1"/>
      <c r="F1"/>
      <c r="I1"/>
    </row>
    <row r="2" spans="1:14" ht="14">
      <c r="A2" s="322" t="s">
        <v>314</v>
      </c>
      <c r="B2" s="323" t="str">
        <f>'Self-Assessment '!F10</f>
        <v>Gender-Responsive Implementer</v>
      </c>
    </row>
    <row r="4" spans="1:14" ht="14" customHeight="1">
      <c r="A4" s="233" t="s">
        <v>314</v>
      </c>
      <c r="B4" s="181" t="s">
        <v>585</v>
      </c>
      <c r="C4" s="363">
        <f>'Inputs (optional)'!C8</f>
        <v>44926</v>
      </c>
      <c r="D4" s="363">
        <f>EOMONTH(C4,12)</f>
        <v>45291</v>
      </c>
      <c r="E4" s="363">
        <f>EOMONTH(D4,12)</f>
        <v>45657</v>
      </c>
      <c r="F4" s="363">
        <v>45855</v>
      </c>
      <c r="G4" s="181" t="s">
        <v>586</v>
      </c>
      <c r="H4" s="181" t="s">
        <v>587</v>
      </c>
      <c r="I4" s="182" t="s">
        <v>588</v>
      </c>
    </row>
    <row r="5" spans="1:14" ht="14">
      <c r="A5" s="183"/>
      <c r="B5" s="157" t="s">
        <v>155</v>
      </c>
      <c r="C5" s="184" t="s">
        <v>154</v>
      </c>
      <c r="D5" s="184" t="s">
        <v>154</v>
      </c>
      <c r="E5" s="185"/>
      <c r="F5" s="185"/>
      <c r="G5" s="186"/>
      <c r="H5" s="187"/>
      <c r="I5" s="188"/>
      <c r="K5" s="93"/>
      <c r="L5" s="94">
        <f>C4</f>
        <v>44926</v>
      </c>
      <c r="M5" s="94">
        <f>D4</f>
        <v>45291</v>
      </c>
      <c r="N5" s="94">
        <f>E4</f>
        <v>45657</v>
      </c>
    </row>
    <row r="6" spans="1:14" ht="14">
      <c r="A6" s="199"/>
      <c r="B6" s="194" t="s">
        <v>589</v>
      </c>
      <c r="C6" s="189"/>
      <c r="D6" s="189"/>
      <c r="E6" s="189"/>
      <c r="F6" s="189"/>
      <c r="G6" s="190"/>
      <c r="H6" s="191"/>
      <c r="I6" s="192"/>
      <c r="K6" s="93"/>
      <c r="L6" s="94"/>
      <c r="M6" s="94"/>
      <c r="N6" s="94"/>
    </row>
    <row r="7" spans="1:14" ht="14" outlineLevel="1">
      <c r="A7" s="236" t="s">
        <v>590</v>
      </c>
      <c r="B7" s="237" t="s">
        <v>332</v>
      </c>
      <c r="C7" s="324">
        <f>'Inputs (optional)'!C12/'Inputs (optional)'!C13</f>
        <v>0.32</v>
      </c>
      <c r="D7" s="324">
        <f>'Inputs (optional)'!D12/'Inputs (optional)'!D13</f>
        <v>0.36666666666666664</v>
      </c>
      <c r="E7" s="324">
        <f>'Inputs (optional)'!E12/'Inputs (optional)'!E13</f>
        <v>0.31034482758620691</v>
      </c>
      <c r="F7" s="324">
        <f>'Inputs (optional)'!F12/'Inputs (optional)'!F13</f>
        <v>0.32</v>
      </c>
      <c r="G7" s="361">
        <v>0.35</v>
      </c>
      <c r="H7" s="324">
        <v>0.4</v>
      </c>
      <c r="I7" s="201" t="s">
        <v>591</v>
      </c>
      <c r="J7" s="88"/>
      <c r="K7" s="95" t="s">
        <v>592</v>
      </c>
      <c r="L7" s="107">
        <f>('Inputs (optional)'!C13-'Inputs (optional)'!C12)/'Inputs (optional)'!C13</f>
        <v>0.68</v>
      </c>
      <c r="M7" s="107">
        <f>('Inputs (optional)'!D13-'Inputs (optional)'!D12)/'Inputs (optional)'!D13</f>
        <v>0.6333333333333333</v>
      </c>
      <c r="N7" s="107">
        <f>('Inputs (optional)'!E13-'Inputs (optional)'!E12)/'Inputs (optional)'!E13</f>
        <v>0.68965517241379315</v>
      </c>
    </row>
    <row r="8" spans="1:14" ht="14" outlineLevel="1">
      <c r="A8" s="236" t="s">
        <v>590</v>
      </c>
      <c r="B8" s="237" t="s">
        <v>593</v>
      </c>
      <c r="C8" s="234">
        <f>'Inputs (optional)'!C14/'Inputs (optional)'!C15</f>
        <v>0.2857142857142857</v>
      </c>
      <c r="D8" s="234">
        <f>'Inputs (optional)'!D14/'Inputs (optional)'!D15</f>
        <v>0.2857142857142857</v>
      </c>
      <c r="E8" s="234">
        <f>'Inputs (optional)'!E14/'Inputs (optional)'!E15</f>
        <v>0.16666666666666666</v>
      </c>
      <c r="F8" s="234">
        <f>'Inputs (optional)'!F14/'Inputs (optional)'!F15</f>
        <v>0.16666666666666666</v>
      </c>
      <c r="G8" s="238"/>
      <c r="H8" s="324">
        <v>0.3</v>
      </c>
      <c r="I8" s="201" t="s">
        <v>594</v>
      </c>
      <c r="K8" s="95" t="s">
        <v>595</v>
      </c>
      <c r="L8" s="107">
        <f>('Inputs (optional)'!C15-'Inputs (optional)'!C14)/'Inputs (optional)'!C15</f>
        <v>0.7142857142857143</v>
      </c>
      <c r="M8" s="107">
        <f>('Inputs (optional)'!D15-'Inputs (optional)'!D14)/'Inputs (optional)'!D15</f>
        <v>0.7142857142857143</v>
      </c>
      <c r="N8" s="107">
        <f>('Inputs (optional)'!E15-'Inputs (optional)'!E14)/'Inputs (optional)'!E15</f>
        <v>0.83333333333333337</v>
      </c>
    </row>
    <row r="9" spans="1:14" ht="14" outlineLevel="1">
      <c r="A9" s="236" t="s">
        <v>590</v>
      </c>
      <c r="B9" s="237" t="s">
        <v>596</v>
      </c>
      <c r="C9" s="234">
        <f>'Inputs (optional)'!C16/'Inputs (optional)'!C17</f>
        <v>0.33333333333333331</v>
      </c>
      <c r="D9" s="234">
        <f>'Inputs (optional)'!D16/'Inputs (optional)'!D17</f>
        <v>0.25</v>
      </c>
      <c r="E9" s="234">
        <f>'Inputs (optional)'!E16/'Inputs (optional)'!E17</f>
        <v>0.25</v>
      </c>
      <c r="F9" s="234">
        <f>'Inputs (optional)'!F16/'Inputs (optional)'!F17</f>
        <v>0.25</v>
      </c>
      <c r="G9" s="238"/>
      <c r="H9" s="324">
        <v>0.3</v>
      </c>
      <c r="I9" s="201" t="s">
        <v>597</v>
      </c>
      <c r="K9" s="95" t="s">
        <v>598</v>
      </c>
      <c r="L9" s="107">
        <f>('Inputs (optional)'!C17-'Inputs (optional)'!C16)/'Inputs (optional)'!C17</f>
        <v>0.66666666666666663</v>
      </c>
      <c r="M9" s="107">
        <f>('Inputs (optional)'!D17-'Inputs (optional)'!D16)/'Inputs (optional)'!D17</f>
        <v>0.75</v>
      </c>
      <c r="N9" s="107">
        <f>('Inputs (optional)'!E17-'Inputs (optional)'!E16)/'Inputs (optional)'!E17</f>
        <v>0.75</v>
      </c>
    </row>
    <row r="10" spans="1:14" ht="14" outlineLevel="1">
      <c r="A10" s="236" t="s">
        <v>590</v>
      </c>
      <c r="B10" s="237" t="s">
        <v>599</v>
      </c>
      <c r="C10" s="234">
        <f>'Inputs (optional)'!C18/'Inputs (optional)'!C19</f>
        <v>0</v>
      </c>
      <c r="D10" s="234">
        <f>'Inputs (optional)'!D18/'Inputs (optional)'!D19</f>
        <v>0.33333333333333331</v>
      </c>
      <c r="E10" s="234">
        <f>'Inputs (optional)'!E18/'Inputs (optional)'!E19</f>
        <v>0.33333333333333331</v>
      </c>
      <c r="F10" s="234">
        <f>'Inputs (optional)'!F18/'Inputs (optional)'!F19</f>
        <v>0.33333333333333331</v>
      </c>
      <c r="G10" s="238"/>
      <c r="H10" s="324">
        <v>0.3</v>
      </c>
      <c r="I10" s="201" t="s">
        <v>600</v>
      </c>
      <c r="K10" s="95" t="s">
        <v>601</v>
      </c>
      <c r="L10" s="107">
        <f>('Inputs (optional)'!C19-'Inputs (optional)'!C18)/'Inputs (optional)'!C19</f>
        <v>1</v>
      </c>
      <c r="M10" s="107">
        <f>('Inputs (optional)'!D19-'Inputs (optional)'!D18)/'Inputs (optional)'!D19</f>
        <v>0.66666666666666663</v>
      </c>
      <c r="N10" s="107">
        <f>('Inputs (optional)'!E19-'Inputs (optional)'!E18)/'Inputs (optional)'!E19</f>
        <v>0.66666666666666663</v>
      </c>
    </row>
    <row r="11" spans="1:14" ht="14" outlineLevel="1">
      <c r="A11" s="236" t="s">
        <v>89</v>
      </c>
      <c r="B11" s="237" t="s">
        <v>602</v>
      </c>
      <c r="C11" s="234">
        <f>'Inputs (optional)'!C20/'Inputs (optional)'!C21</f>
        <v>0.33333333333333331</v>
      </c>
      <c r="D11" s="234">
        <f>'Inputs (optional)'!D20/'Inputs (optional)'!D21</f>
        <v>0.33333333333333331</v>
      </c>
      <c r="E11" s="234">
        <f>'Inputs (optional)'!E20/'Inputs (optional)'!E21</f>
        <v>0.2</v>
      </c>
      <c r="F11" s="234">
        <f>'Inputs (optional)'!F20/'Inputs (optional)'!F21</f>
        <v>0.2</v>
      </c>
      <c r="G11" s="238"/>
      <c r="H11" s="324">
        <v>0.3</v>
      </c>
      <c r="I11" s="201" t="s">
        <v>603</v>
      </c>
      <c r="K11" s="95" t="s">
        <v>604</v>
      </c>
      <c r="L11" s="107">
        <f>('Inputs (optional)'!C21-'Inputs (optional)'!C20)/'Inputs (optional)'!C21</f>
        <v>0.66666666666666663</v>
      </c>
      <c r="M11" s="107">
        <f>('Inputs (optional)'!D21-'Inputs (optional)'!D20)/'Inputs (optional)'!D21</f>
        <v>0.66666666666666663</v>
      </c>
      <c r="N11" s="107">
        <f>('Inputs (optional)'!E21-'Inputs (optional)'!E20)/'Inputs (optional)'!E21</f>
        <v>0.8</v>
      </c>
    </row>
    <row r="12" spans="1:14" ht="14" outlineLevel="1">
      <c r="A12" s="236" t="s">
        <v>89</v>
      </c>
      <c r="B12" s="237" t="s">
        <v>605</v>
      </c>
      <c r="C12" s="234">
        <f>'Inputs (optional)'!C22/'Inputs (optional)'!C23</f>
        <v>0.33333333333333331</v>
      </c>
      <c r="D12" s="234">
        <f>'Inputs (optional)'!D22/'Inputs (optional)'!D23</f>
        <v>0.42857142857142855</v>
      </c>
      <c r="E12" s="234">
        <f>'Inputs (optional)'!E22/'Inputs (optional)'!E23</f>
        <v>0.42857142857142855</v>
      </c>
      <c r="F12" s="234">
        <f>'Inputs (optional)'!F22/'Inputs (optional)'!F23</f>
        <v>0.5</v>
      </c>
      <c r="G12" s="238"/>
      <c r="H12" s="324">
        <v>0.3</v>
      </c>
      <c r="I12" s="201" t="s">
        <v>606</v>
      </c>
      <c r="K12" s="95" t="s">
        <v>607</v>
      </c>
      <c r="L12" s="107">
        <f>('Inputs (optional)'!C23-'Inputs (optional)'!C22)/'Inputs (optional)'!C23</f>
        <v>0.66666666666666663</v>
      </c>
      <c r="M12" s="107">
        <f>('Inputs (optional)'!D23-'Inputs (optional)'!D22)/'Inputs (optional)'!D23</f>
        <v>0.5714285714285714</v>
      </c>
      <c r="N12" s="107">
        <f>('Inputs (optional)'!E23-'Inputs (optional)'!E22)/'Inputs (optional)'!E23</f>
        <v>0.5714285714285714</v>
      </c>
    </row>
    <row r="13" spans="1:14" ht="14" outlineLevel="1">
      <c r="A13" s="236" t="s">
        <v>89</v>
      </c>
      <c r="B13" s="237" t="s">
        <v>608</v>
      </c>
      <c r="C13" s="234">
        <f>'Inputs (optional)'!C24/'Inputs (optional)'!C25</f>
        <v>0.5</v>
      </c>
      <c r="D13" s="234">
        <f>'Inputs (optional)'!D24/'Inputs (optional)'!D25</f>
        <v>0.5</v>
      </c>
      <c r="E13" s="234">
        <f>'Inputs (optional)'!E24/'Inputs (optional)'!E25</f>
        <v>0.4</v>
      </c>
      <c r="F13" s="234">
        <f>'Inputs (optional)'!F24/'Inputs (optional)'!F25</f>
        <v>0.25</v>
      </c>
      <c r="G13" s="238"/>
      <c r="H13" s="324">
        <v>0.4</v>
      </c>
      <c r="I13" s="201" t="s">
        <v>609</v>
      </c>
      <c r="K13" s="95" t="s">
        <v>610</v>
      </c>
      <c r="L13" s="107">
        <f>('Inputs (optional)'!C25-'Inputs (optional)'!C24)/'Inputs (optional)'!C25</f>
        <v>0.5</v>
      </c>
      <c r="M13" s="107">
        <f>('Inputs (optional)'!D25-'Inputs (optional)'!D24)/'Inputs (optional)'!D25</f>
        <v>0.5</v>
      </c>
      <c r="N13" s="107">
        <f>('Inputs (optional)'!E25-'Inputs (optional)'!E24)/'Inputs (optional)'!E25</f>
        <v>0.6</v>
      </c>
    </row>
    <row r="14" spans="1:14" ht="14">
      <c r="A14" s="199"/>
      <c r="B14" s="194" t="s">
        <v>611</v>
      </c>
      <c r="C14" s="189"/>
      <c r="D14" s="189"/>
      <c r="E14" s="189"/>
      <c r="F14" s="189"/>
      <c r="G14" s="190"/>
      <c r="H14" s="191"/>
      <c r="I14" s="343"/>
      <c r="K14" s="95"/>
      <c r="L14" s="96"/>
      <c r="M14" s="96"/>
      <c r="N14" s="96"/>
    </row>
    <row r="15" spans="1:14" ht="14" outlineLevel="1">
      <c r="A15" s="236" t="s">
        <v>89</v>
      </c>
      <c r="B15" s="237" t="s">
        <v>612</v>
      </c>
      <c r="C15" s="325">
        <f>'Inputs (optional)'!C35/'Inputs (optional)'!C36</f>
        <v>0.9375</v>
      </c>
      <c r="D15" s="325">
        <f>'Inputs (optional)'!D35/'Inputs (optional)'!D36</f>
        <v>0.9375</v>
      </c>
      <c r="E15" s="325">
        <f>'Inputs (optional)'!E35/'Inputs (optional)'!E36</f>
        <v>1.75</v>
      </c>
      <c r="F15" s="325">
        <f>'Inputs (optional)'!F35/'Inputs (optional)'!F36</f>
        <v>1.75</v>
      </c>
      <c r="G15" s="238"/>
      <c r="H15" s="326">
        <v>1</v>
      </c>
      <c r="I15" s="201" t="s">
        <v>613</v>
      </c>
    </row>
    <row r="16" spans="1:14" ht="14" outlineLevel="1">
      <c r="A16" s="236" t="s">
        <v>89</v>
      </c>
      <c r="B16" s="237" t="s">
        <v>614</v>
      </c>
      <c r="C16" s="235">
        <f>'Inputs (optional)'!C37/'Inputs (optional)'!C38</f>
        <v>0.4</v>
      </c>
      <c r="D16" s="235">
        <f>'Inputs (optional)'!D37/'Inputs (optional)'!D38</f>
        <v>0.33333333333333331</v>
      </c>
      <c r="E16" s="235">
        <f>'Inputs (optional)'!E37/'Inputs (optional)'!E38</f>
        <v>0.33333333333333331</v>
      </c>
      <c r="F16" s="235">
        <f>'Inputs (optional)'!F37/'Inputs (optional)'!F38</f>
        <v>0.4</v>
      </c>
      <c r="G16" s="238"/>
      <c r="H16" s="326">
        <v>1</v>
      </c>
      <c r="I16" s="201" t="s">
        <v>613</v>
      </c>
    </row>
    <row r="17" spans="1:9" ht="14" outlineLevel="1">
      <c r="A17" s="236" t="s">
        <v>89</v>
      </c>
      <c r="B17" s="237" t="s">
        <v>615</v>
      </c>
      <c r="C17" s="235">
        <f>'Inputs (optional)'!C39/'Inputs (optional)'!C40</f>
        <v>0.45</v>
      </c>
      <c r="D17" s="235">
        <f>'Inputs (optional)'!D39/'Inputs (optional)'!D40</f>
        <v>0.45</v>
      </c>
      <c r="E17" s="235">
        <f>'Inputs (optional)'!E39/'Inputs (optional)'!E40</f>
        <v>0.45</v>
      </c>
      <c r="F17" s="235">
        <f>'Inputs (optional)'!F39/'Inputs (optional)'!F40</f>
        <v>0.5</v>
      </c>
      <c r="G17" s="238"/>
      <c r="H17" s="326">
        <v>1</v>
      </c>
      <c r="I17" s="201" t="s">
        <v>613</v>
      </c>
    </row>
    <row r="18" spans="1:9" ht="14" outlineLevel="1">
      <c r="A18" s="236" t="s">
        <v>89</v>
      </c>
      <c r="B18" s="237" t="s">
        <v>616</v>
      </c>
      <c r="C18" s="235">
        <f>AVERAGE(C15:C17)</f>
        <v>0.59583333333333333</v>
      </c>
      <c r="D18" s="235">
        <f>AVERAGE(D15:D17)</f>
        <v>0.57361111111111107</v>
      </c>
      <c r="E18" s="235">
        <f>AVERAGE(E15:E17)</f>
        <v>0.84444444444444455</v>
      </c>
      <c r="F18" s="235">
        <f>AVERAGE(F15:F17)</f>
        <v>0.8833333333333333</v>
      </c>
      <c r="G18" s="238"/>
      <c r="H18" s="326">
        <v>1</v>
      </c>
      <c r="I18" s="201" t="s">
        <v>613</v>
      </c>
    </row>
    <row r="19" spans="1:9" ht="14">
      <c r="A19" s="199"/>
      <c r="B19" s="194" t="s">
        <v>617</v>
      </c>
      <c r="C19" s="189"/>
      <c r="D19" s="189"/>
      <c r="E19" s="189"/>
      <c r="F19" s="189"/>
      <c r="G19" s="190"/>
      <c r="H19" s="191"/>
      <c r="I19" s="344"/>
    </row>
    <row r="20" spans="1:9" ht="14" outlineLevel="1">
      <c r="A20" s="236" t="s">
        <v>89</v>
      </c>
      <c r="B20" s="237" t="s">
        <v>618</v>
      </c>
      <c r="C20" s="324">
        <f>'Inputs (optional)'!C30/'Inputs (optional)'!C31</f>
        <v>0.4</v>
      </c>
      <c r="D20" s="324">
        <f>'Inputs (optional)'!D30/'Inputs (optional)'!D31</f>
        <v>1</v>
      </c>
      <c r="E20" s="324">
        <f>'Inputs (optional)'!E30/'Inputs (optional)'!E31</f>
        <v>0</v>
      </c>
      <c r="F20" s="324" t="e">
        <f>'Inputs (optional)'!F30/'Inputs (optional)'!F31</f>
        <v>#DIV/0!</v>
      </c>
      <c r="G20" s="238"/>
      <c r="H20" s="324">
        <v>0.5</v>
      </c>
      <c r="I20" s="201" t="s">
        <v>619</v>
      </c>
    </row>
    <row r="21" spans="1:9" ht="25.5" customHeight="1" outlineLevel="1">
      <c r="A21" s="236" t="s">
        <v>89</v>
      </c>
      <c r="B21" s="237" t="s">
        <v>620</v>
      </c>
      <c r="C21" s="235">
        <f>'Inputs (optional)'!C47/AVERAGE('Inputs (optional)'!C22)</f>
        <v>0.5</v>
      </c>
      <c r="D21" s="235">
        <f>'Inputs (optional)'!D47/AVERAGE('Inputs (optional)'!C22:D22)</f>
        <v>0.8</v>
      </c>
      <c r="E21" s="235">
        <f>'Inputs (optional)'!E47/AVERAGE('Inputs (optional)'!D22:E22)</f>
        <v>0</v>
      </c>
      <c r="F21" s="235">
        <f>'Inputs (optional)'!F47/AVERAGE('Inputs (optional)'!E22:F22)</f>
        <v>0</v>
      </c>
      <c r="G21" s="238"/>
      <c r="H21" s="326"/>
      <c r="I21" s="201" t="s">
        <v>621</v>
      </c>
    </row>
    <row r="22" spans="1:9" ht="26" customHeight="1" outlineLevel="1">
      <c r="A22" s="236" t="s">
        <v>89</v>
      </c>
      <c r="B22" s="237" t="s">
        <v>622</v>
      </c>
      <c r="C22" s="235">
        <f>'Inputs (optional)'!C48/AVERAGE('Inputs (optional)'!C23-'Inputs (optional)'!C22)</f>
        <v>0.5</v>
      </c>
      <c r="D22" s="235">
        <f>'Inputs (optional)'!D48/AVERAGE('Inputs (optional)'!D23-'Inputs (optional)'!D22)</f>
        <v>0.25</v>
      </c>
      <c r="E22" s="235">
        <f>'Inputs (optional)'!E48/AVERAGE('Inputs (optional)'!E23-'Inputs (optional)'!E22)</f>
        <v>0.5</v>
      </c>
      <c r="F22" s="235">
        <f>'Inputs (optional)'!F48/AVERAGE('Inputs (optional)'!F23-'Inputs (optional)'!F22)</f>
        <v>0.66666666666666663</v>
      </c>
      <c r="G22" s="238"/>
      <c r="H22" s="326"/>
      <c r="I22" s="201" t="s">
        <v>621</v>
      </c>
    </row>
    <row r="23" spans="1:9" ht="27" customHeight="1" outlineLevel="1">
      <c r="A23" s="202" t="s">
        <v>89</v>
      </c>
      <c r="B23" s="195" t="s">
        <v>623</v>
      </c>
      <c r="C23" s="227">
        <f>C21/C22</f>
        <v>1</v>
      </c>
      <c r="D23" s="227">
        <f>D21/D22</f>
        <v>3.2</v>
      </c>
      <c r="E23" s="227">
        <f>E21/E22</f>
        <v>0</v>
      </c>
      <c r="F23" s="227">
        <f>F21/F22</f>
        <v>0</v>
      </c>
      <c r="G23" s="81"/>
      <c r="H23" s="327">
        <v>1</v>
      </c>
      <c r="I23" s="201" t="s">
        <v>621</v>
      </c>
    </row>
    <row r="24" spans="1:9" ht="28.5" customHeight="1" outlineLevel="1">
      <c r="A24" s="200" t="s">
        <v>89</v>
      </c>
      <c r="B24" s="196" t="s">
        <v>624</v>
      </c>
      <c r="C24" s="227">
        <f>'Inputs (optional)'!C49/AVERAGE('Inputs (optional)'!C24)</f>
        <v>0.5</v>
      </c>
      <c r="D24" s="227">
        <f>'Inputs (optional)'!D49/AVERAGE('Inputs (optional)'!C24:D24)</f>
        <v>0.5</v>
      </c>
      <c r="E24" s="227">
        <f>'Inputs (optional)'!E49/AVERAGE('Inputs (optional)'!D24:E24)</f>
        <v>0.5</v>
      </c>
      <c r="F24" s="227">
        <f>'Inputs (optional)'!F49/AVERAGE('Inputs (optional)'!E24:F24)</f>
        <v>0.66666666666666663</v>
      </c>
      <c r="G24" s="81"/>
      <c r="H24" s="327"/>
      <c r="I24" s="201" t="s">
        <v>621</v>
      </c>
    </row>
    <row r="25" spans="1:9" ht="27" customHeight="1" outlineLevel="1">
      <c r="A25" s="200" t="s">
        <v>89</v>
      </c>
      <c r="B25" s="196" t="s">
        <v>625</v>
      </c>
      <c r="C25" s="227">
        <f>'Inputs (optional)'!C50/AVERAGE('Inputs (optional)'!C23-'Inputs (optional)'!C22)</f>
        <v>0.25</v>
      </c>
      <c r="D25" s="227">
        <f>'Inputs (optional)'!D50/AVERAGE('Inputs (optional)'!D23-'Inputs (optional)'!D22, 'Inputs (optional)'!C23-'Inputs (optional)'!C22)</f>
        <v>0</v>
      </c>
      <c r="E25" s="227">
        <f>'Inputs (optional)'!E50/AVERAGE('Inputs (optional)'!E23-'Inputs (optional)'!E22, 'Inputs (optional)'!D23-'Inputs (optional)'!D22)</f>
        <v>0.25</v>
      </c>
      <c r="F25" s="227">
        <f>'Inputs (optional)'!F50/AVERAGE('Inputs (optional)'!F23-'Inputs (optional)'!F22, 'Inputs (optional)'!E23-'Inputs (optional)'!E22)</f>
        <v>0.2857142857142857</v>
      </c>
      <c r="G25" s="81"/>
      <c r="H25" s="327"/>
      <c r="I25" s="201" t="s">
        <v>621</v>
      </c>
    </row>
    <row r="26" spans="1:9" ht="26.5" customHeight="1" outlineLevel="1">
      <c r="A26" s="200" t="s">
        <v>89</v>
      </c>
      <c r="B26" s="195" t="s">
        <v>626</v>
      </c>
      <c r="C26" s="227">
        <f>C24/C25</f>
        <v>2</v>
      </c>
      <c r="D26" s="227" t="e">
        <f>D24/D25</f>
        <v>#DIV/0!</v>
      </c>
      <c r="E26" s="227">
        <f>E24/E25</f>
        <v>2</v>
      </c>
      <c r="F26" s="227">
        <f>F24/F25</f>
        <v>2.3333333333333335</v>
      </c>
      <c r="G26" s="81"/>
      <c r="H26" s="327">
        <v>1</v>
      </c>
      <c r="I26" s="201" t="s">
        <v>621</v>
      </c>
    </row>
    <row r="27" spans="1:9" ht="14">
      <c r="A27" s="199"/>
      <c r="B27" s="194" t="s">
        <v>627</v>
      </c>
      <c r="C27" s="189"/>
      <c r="D27" s="189"/>
      <c r="E27" s="189"/>
      <c r="F27" s="189"/>
      <c r="G27" s="190"/>
      <c r="H27" s="191"/>
      <c r="I27" s="344"/>
    </row>
    <row r="28" spans="1:9" ht="24.5" customHeight="1" outlineLevel="1">
      <c r="A28" s="202" t="s">
        <v>89</v>
      </c>
      <c r="B28" s="195" t="s">
        <v>628</v>
      </c>
      <c r="C28" s="228">
        <f>'Inputs (optional)'!C43/'Inputs (optional)'!C42</f>
        <v>0</v>
      </c>
      <c r="D28" s="228">
        <f>'Inputs (optional)'!D43/'Inputs (optional)'!D42</f>
        <v>0.6</v>
      </c>
      <c r="E28" s="228">
        <f>'Inputs (optional)'!E43/'Inputs (optional)'!E42</f>
        <v>0.6</v>
      </c>
      <c r="F28" s="228">
        <f>'Inputs (optional)'!F43/'Inputs (optional)'!F42</f>
        <v>0.8</v>
      </c>
      <c r="G28" s="81"/>
      <c r="H28" s="228">
        <v>0.9</v>
      </c>
      <c r="I28" s="201" t="s">
        <v>629</v>
      </c>
    </row>
    <row r="29" spans="1:9" ht="23.5" customHeight="1" outlineLevel="1">
      <c r="A29" s="202" t="s">
        <v>89</v>
      </c>
      <c r="B29" s="195" t="s">
        <v>630</v>
      </c>
      <c r="C29" s="193">
        <f>'Inputs (optional)'!C45/'Inputs (optional)'!C44</f>
        <v>0</v>
      </c>
      <c r="D29" s="193">
        <f>'Inputs (optional)'!D45/'Inputs (optional)'!D44</f>
        <v>0.33333333333333331</v>
      </c>
      <c r="E29" s="193">
        <f>'Inputs (optional)'!E45/'Inputs (optional)'!E44</f>
        <v>0.66666666666666663</v>
      </c>
      <c r="F29" s="193">
        <f>'Inputs (optional)'!F45/'Inputs (optional)'!F44</f>
        <v>1</v>
      </c>
      <c r="G29" s="81"/>
      <c r="H29" s="228">
        <v>0.9</v>
      </c>
      <c r="I29" s="201" t="s">
        <v>631</v>
      </c>
    </row>
    <row r="30" spans="1:9" ht="14">
      <c r="A30" s="199"/>
      <c r="B30" s="194" t="s">
        <v>244</v>
      </c>
      <c r="C30" s="189"/>
      <c r="D30" s="189"/>
      <c r="E30" s="189"/>
      <c r="F30" s="189"/>
      <c r="G30" s="190"/>
      <c r="H30" s="191"/>
      <c r="I30" s="344"/>
    </row>
    <row r="31" spans="1:9" ht="14" outlineLevel="1">
      <c r="A31" s="202" t="s">
        <v>89</v>
      </c>
      <c r="B31" s="195" t="s">
        <v>632</v>
      </c>
      <c r="C31" s="228" t="str">
        <f>'Inputs (optional)'!C55</f>
        <v>Not aligned</v>
      </c>
      <c r="D31" s="228" t="str">
        <f>'Inputs (optional)'!D55</f>
        <v>Partially aligned</v>
      </c>
      <c r="E31" s="228" t="str">
        <f>'Inputs (optional)'!E55</f>
        <v xml:space="preserve">Aligned </v>
      </c>
      <c r="F31" s="228" t="str">
        <f>'Inputs (optional)'!F55</f>
        <v xml:space="preserve">Aligned </v>
      </c>
      <c r="G31" s="81"/>
      <c r="H31" s="228" t="s">
        <v>439</v>
      </c>
      <c r="I31" s="201" t="s">
        <v>633</v>
      </c>
    </row>
    <row r="32" spans="1:9" ht="14" outlineLevel="1">
      <c r="A32" s="202" t="s">
        <v>109</v>
      </c>
      <c r="B32" s="195" t="s">
        <v>634</v>
      </c>
      <c r="C32" s="193">
        <f>'Inputs (optional)'!C26/'Inputs (optional)'!C27</f>
        <v>0.5</v>
      </c>
      <c r="D32" s="193">
        <f>'Inputs (optional)'!D26/'Inputs (optional)'!D27</f>
        <v>0.5</v>
      </c>
      <c r="E32" s="193">
        <f>'Inputs (optional)'!E26/'Inputs (optional)'!E27</f>
        <v>0.33333333333333331</v>
      </c>
      <c r="F32" s="193">
        <f>'Inputs (optional)'!F26/'Inputs (optional)'!F27</f>
        <v>1</v>
      </c>
      <c r="G32" s="81"/>
      <c r="H32" s="228">
        <v>0.4</v>
      </c>
      <c r="I32" s="201" t="s">
        <v>635</v>
      </c>
    </row>
    <row r="33" spans="1:9" ht="14" outlineLevel="1">
      <c r="A33" s="202" t="s">
        <v>109</v>
      </c>
      <c r="B33" s="195" t="s">
        <v>636</v>
      </c>
      <c r="C33" s="228">
        <f>'Inputs (optional)'!C28/'Inputs (optional)'!C29</f>
        <v>0.3</v>
      </c>
      <c r="D33" s="228">
        <f>'Inputs (optional)'!D28/'Inputs (optional)'!D29</f>
        <v>0.30769230769230771</v>
      </c>
      <c r="E33" s="228">
        <f>'Inputs (optional)'!E28/'Inputs (optional)'!E29</f>
        <v>0.18181818181818182</v>
      </c>
      <c r="F33" s="228">
        <f>'Inputs (optional)'!F28/'Inputs (optional)'!F29</f>
        <v>0.22222222222222221</v>
      </c>
      <c r="G33" s="81"/>
      <c r="H33" s="228">
        <v>0.4</v>
      </c>
      <c r="I33" s="201" t="s">
        <v>637</v>
      </c>
    </row>
    <row r="34" spans="1:9" s="99" customFormat="1" ht="14" outlineLevel="1">
      <c r="A34" s="202" t="s">
        <v>109</v>
      </c>
      <c r="B34" s="195" t="s">
        <v>638</v>
      </c>
      <c r="C34" s="214">
        <f>('Inputs (optional)'!C52/'Inputs (optional)'!C12)/('Inputs (optional)'!C53/('Inputs (optional)'!C13-'Inputs (optional)'!C12))</f>
        <v>0.75892857142857151</v>
      </c>
      <c r="D34" s="214">
        <f>('Inputs (optional)'!D52/'Inputs (optional)'!D12)/('Inputs (optional)'!D53/('Inputs (optional)'!D13-'Inputs (optional)'!D12))</f>
        <v>0.86363636363636365</v>
      </c>
      <c r="E34" s="214">
        <f>('Inputs (optional)'!E52/'Inputs (optional)'!E12)/('Inputs (optional)'!E53/('Inputs (optional)'!E13-'Inputs (optional)'!E12))</f>
        <v>1.6666666666666667</v>
      </c>
      <c r="F34" s="214">
        <f>('Inputs (optional)'!F52/'Inputs (optional)'!F12)/('Inputs (optional)'!F53/('Inputs (optional)'!F13-'Inputs (optional)'!F12))</f>
        <v>1.59375</v>
      </c>
      <c r="G34" s="81"/>
      <c r="H34" s="327">
        <v>1</v>
      </c>
      <c r="I34" s="201" t="s">
        <v>639</v>
      </c>
    </row>
    <row r="35" spans="1:9" ht="14" outlineLevel="1">
      <c r="A35" s="202" t="s">
        <v>109</v>
      </c>
      <c r="B35" s="195" t="s">
        <v>640</v>
      </c>
      <c r="C35" s="228" t="str">
        <f>'Inputs (optional)'!C56</f>
        <v>No</v>
      </c>
      <c r="D35" s="228" t="str">
        <f>'Inputs (optional)'!D56</f>
        <v>In progress</v>
      </c>
      <c r="E35" s="228" t="str">
        <f>'Inputs (optional)'!E56</f>
        <v>Yes</v>
      </c>
      <c r="F35" s="228" t="str">
        <f>'Inputs (optional)'!F56</f>
        <v>Yes</v>
      </c>
      <c r="G35" s="81"/>
      <c r="H35" s="228" t="s">
        <v>254</v>
      </c>
      <c r="I35" s="201" t="s">
        <v>641</v>
      </c>
    </row>
    <row r="36" spans="1:9" ht="14" outlineLevel="1">
      <c r="A36" s="202" t="s">
        <v>83</v>
      </c>
      <c r="B36" s="195" t="s">
        <v>642</v>
      </c>
      <c r="C36" s="193" t="str">
        <f>'Inputs (optional)'!C57</f>
        <v>No</v>
      </c>
      <c r="D36" s="193" t="str">
        <f>'Inputs (optional)'!D57</f>
        <v>Yes</v>
      </c>
      <c r="E36" s="193" t="str">
        <f>'Inputs (optional)'!E57</f>
        <v>Yes</v>
      </c>
      <c r="F36" s="193" t="str">
        <f>'Inputs (optional)'!F57</f>
        <v>Yes</v>
      </c>
      <c r="G36" s="81"/>
      <c r="H36" s="228" t="s">
        <v>254</v>
      </c>
      <c r="I36" s="201" t="s">
        <v>643</v>
      </c>
    </row>
    <row r="37" spans="1:9" ht="14" outlineLevel="1">
      <c r="A37" s="202" t="s">
        <v>83</v>
      </c>
      <c r="B37" s="195" t="s">
        <v>644</v>
      </c>
      <c r="C37" s="228" t="str">
        <f>'Inputs (optional)'!C58</f>
        <v>In progress</v>
      </c>
      <c r="D37" s="228" t="str">
        <f>'Inputs (optional)'!D58</f>
        <v>Yes</v>
      </c>
      <c r="E37" s="228" t="str">
        <f>'Inputs (optional)'!E58</f>
        <v>Yes</v>
      </c>
      <c r="F37" s="228" t="str">
        <f>'Inputs (optional)'!F58</f>
        <v>Yes</v>
      </c>
      <c r="G37" s="81"/>
      <c r="H37" s="228" t="s">
        <v>254</v>
      </c>
      <c r="I37" s="201" t="s">
        <v>645</v>
      </c>
    </row>
    <row r="38" spans="1:9" ht="14" outlineLevel="1">
      <c r="A38" s="202" t="s">
        <v>83</v>
      </c>
      <c r="B38" s="195" t="s">
        <v>646</v>
      </c>
      <c r="C38" s="193" t="str">
        <f>'Inputs (optional)'!C59</f>
        <v>Aligned and audited</v>
      </c>
      <c r="D38" s="193" t="str">
        <f>'Inputs (optional)'!D59</f>
        <v>Aligned and audited</v>
      </c>
      <c r="E38" s="193" t="str">
        <f>'Inputs (optional)'!E59</f>
        <v>Aligned and audited</v>
      </c>
      <c r="F38" s="193" t="str">
        <f>'Inputs (optional)'!F59</f>
        <v>Aligned and audited</v>
      </c>
      <c r="G38" s="81"/>
      <c r="H38" s="228" t="s">
        <v>439</v>
      </c>
      <c r="I38" s="201" t="s">
        <v>647</v>
      </c>
    </row>
    <row r="39" spans="1:9" ht="14" outlineLevel="1">
      <c r="A39" s="202" t="s">
        <v>83</v>
      </c>
      <c r="B39" s="195" t="s">
        <v>267</v>
      </c>
      <c r="C39" s="228" t="str">
        <f>'Inputs (optional)'!C62</f>
        <v>Partially aligned</v>
      </c>
      <c r="D39" s="228" t="str">
        <f>'Inputs (optional)'!D62</f>
        <v xml:space="preserve">Aligned </v>
      </c>
      <c r="E39" s="228" t="str">
        <f>'Inputs (optional)'!E62</f>
        <v>Aligned and audited</v>
      </c>
      <c r="F39" s="228" t="str">
        <f>'Inputs (optional)'!F62</f>
        <v>Aligned and audited</v>
      </c>
      <c r="G39" s="81"/>
      <c r="H39" s="228" t="s">
        <v>439</v>
      </c>
      <c r="I39" s="201" t="s">
        <v>648</v>
      </c>
    </row>
    <row r="40" spans="1:9" ht="28" customHeight="1" outlineLevel="1">
      <c r="A40" s="202" t="s">
        <v>83</v>
      </c>
      <c r="B40" s="195" t="s">
        <v>649</v>
      </c>
      <c r="C40" s="193" t="str">
        <f>'Inputs (optional)'!C60</f>
        <v>No</v>
      </c>
      <c r="D40" s="193" t="str">
        <f>'Inputs (optional)'!D60</f>
        <v>In progress</v>
      </c>
      <c r="E40" s="193" t="str">
        <f>'Inputs (optional)'!E60</f>
        <v>In progress</v>
      </c>
      <c r="F40" s="193" t="str">
        <f>'Inputs (optional)'!F60</f>
        <v>In progress</v>
      </c>
      <c r="G40" s="81"/>
      <c r="H40" s="228" t="s">
        <v>254</v>
      </c>
      <c r="I40" s="201" t="s">
        <v>650</v>
      </c>
    </row>
    <row r="41" spans="1:9" ht="28" customHeight="1" outlineLevel="1">
      <c r="A41" s="202" t="s">
        <v>83</v>
      </c>
      <c r="B41" s="195" t="s">
        <v>651</v>
      </c>
      <c r="C41" s="228" t="str">
        <f>'Inputs (optional)'!C61</f>
        <v>Not aligned</v>
      </c>
      <c r="D41" s="228" t="str">
        <f>'Inputs (optional)'!D61</f>
        <v>Partially aligned</v>
      </c>
      <c r="E41" s="228" t="str">
        <f>'Inputs (optional)'!E61</f>
        <v xml:space="preserve">Aligned </v>
      </c>
      <c r="F41" s="228" t="str">
        <f>'Inputs (optional)'!F61</f>
        <v xml:space="preserve">Aligned </v>
      </c>
      <c r="G41" s="81"/>
      <c r="H41" s="228" t="s">
        <v>439</v>
      </c>
      <c r="I41" s="201" t="s">
        <v>652</v>
      </c>
    </row>
    <row r="42" spans="1:9" ht="42" outlineLevel="1">
      <c r="A42" s="202" t="s">
        <v>83</v>
      </c>
      <c r="B42" s="195" t="s">
        <v>509</v>
      </c>
      <c r="C42" s="193" t="str">
        <f>'Inputs (optional)'!C63</f>
        <v>Partially aligned</v>
      </c>
      <c r="D42" s="193" t="str">
        <f>'Inputs (optional)'!D63</f>
        <v>Partially aligned</v>
      </c>
      <c r="E42" s="193" t="str">
        <f>'Inputs (optional)'!E63</f>
        <v xml:space="preserve">Aligned </v>
      </c>
      <c r="F42" s="193" t="str">
        <f>'Inputs (optional)'!F63</f>
        <v xml:space="preserve">Aligned </v>
      </c>
      <c r="G42" s="81"/>
      <c r="H42" s="228" t="s">
        <v>439</v>
      </c>
      <c r="I42" s="201" t="s">
        <v>653</v>
      </c>
    </row>
    <row r="43" spans="1:9" ht="14" outlineLevel="1">
      <c r="A43" s="202" t="s">
        <v>83</v>
      </c>
      <c r="B43" s="195" t="s">
        <v>271</v>
      </c>
      <c r="C43" s="228" t="str">
        <f>'Inputs (optional)'!C64</f>
        <v xml:space="preserve">Aligned </v>
      </c>
      <c r="D43" s="228" t="str">
        <f>'Inputs (optional)'!D64</f>
        <v xml:space="preserve">Aligned </v>
      </c>
      <c r="E43" s="228" t="str">
        <f>'Inputs (optional)'!E64</f>
        <v>Aligned and audited</v>
      </c>
      <c r="F43" s="228" t="str">
        <f>'Inputs (optional)'!F64</f>
        <v>Aligned and audited</v>
      </c>
      <c r="G43" s="81"/>
      <c r="H43" s="228" t="s">
        <v>439</v>
      </c>
      <c r="I43" s="201" t="s">
        <v>654</v>
      </c>
    </row>
    <row r="44" spans="1:9" ht="14">
      <c r="A44" s="183"/>
      <c r="B44" s="197" t="s">
        <v>272</v>
      </c>
      <c r="C44" s="86"/>
      <c r="D44" s="87"/>
      <c r="E44" s="87"/>
      <c r="F44" s="87"/>
      <c r="G44" s="84"/>
      <c r="H44" s="84"/>
      <c r="I44" s="345"/>
    </row>
    <row r="45" spans="1:9" ht="14">
      <c r="A45" s="199"/>
      <c r="B45" s="194" t="s">
        <v>655</v>
      </c>
      <c r="C45" s="189"/>
      <c r="D45" s="189"/>
      <c r="E45" s="189"/>
      <c r="F45" s="189"/>
      <c r="G45" s="190"/>
      <c r="H45" s="191"/>
      <c r="I45" s="344"/>
    </row>
    <row r="46" spans="1:9" ht="29" customHeight="1" outlineLevel="1">
      <c r="A46" s="202" t="s">
        <v>590</v>
      </c>
      <c r="B46" s="195" t="s">
        <v>521</v>
      </c>
      <c r="C46" s="193">
        <f>'Inputs (optional)'!C68/'Inputs (optional)'!C69</f>
        <v>0.33333333333333331</v>
      </c>
      <c r="D46" s="193">
        <f>'Inputs (optional)'!D68/'Inputs (optional)'!D69</f>
        <v>0.4</v>
      </c>
      <c r="E46" s="193">
        <f>'Inputs (optional)'!E68/'Inputs (optional)'!E69</f>
        <v>0.4</v>
      </c>
      <c r="F46" s="193">
        <f>'Inputs (optional)'!F68/'Inputs (optional)'!F69</f>
        <v>0.4</v>
      </c>
      <c r="G46" s="81"/>
      <c r="H46" s="228">
        <v>0.5</v>
      </c>
      <c r="I46" s="201" t="s">
        <v>656</v>
      </c>
    </row>
    <row r="47" spans="1:9" ht="14" outlineLevel="1">
      <c r="A47" s="202" t="s">
        <v>590</v>
      </c>
      <c r="B47" s="195" t="s">
        <v>657</v>
      </c>
      <c r="C47" s="228">
        <f>'Inputs (optional)'!C70/'Inputs (optional)'!C71</f>
        <v>0.33333333333333331</v>
      </c>
      <c r="D47" s="228">
        <f>'Inputs (optional)'!D70/'Inputs (optional)'!D71</f>
        <v>0.31818181818181818</v>
      </c>
      <c r="E47" s="228">
        <f>'Inputs (optional)'!E70/'Inputs (optional)'!E71</f>
        <v>0.34285714285714286</v>
      </c>
      <c r="F47" s="228">
        <f>'Inputs (optional)'!F70/'Inputs (optional)'!F71</f>
        <v>0.34285714285714286</v>
      </c>
      <c r="G47" s="81"/>
      <c r="H47" s="228">
        <v>0.5</v>
      </c>
      <c r="I47" s="201" t="s">
        <v>658</v>
      </c>
    </row>
    <row r="48" spans="1:9" ht="28" outlineLevel="1">
      <c r="A48" s="202" t="s">
        <v>89</v>
      </c>
      <c r="B48" s="195" t="s">
        <v>309</v>
      </c>
      <c r="C48" s="193" t="str">
        <f>'Inputs (optional)'!C85</f>
        <v>Partially aligned</v>
      </c>
      <c r="D48" s="193" t="str">
        <f>'Inputs (optional)'!D85</f>
        <v xml:space="preserve">Aligned </v>
      </c>
      <c r="E48" s="193" t="str">
        <f>'Inputs (optional)'!E85</f>
        <v>Aligned and audited</v>
      </c>
      <c r="F48" s="193" t="str">
        <f>'Inputs (optional)'!F85</f>
        <v>Aligned and audited</v>
      </c>
      <c r="G48" s="81"/>
      <c r="H48" s="228" t="s">
        <v>439</v>
      </c>
      <c r="I48" s="201" t="s">
        <v>659</v>
      </c>
    </row>
    <row r="49" spans="1:9" ht="14">
      <c r="A49" s="199"/>
      <c r="B49" s="194" t="s">
        <v>660</v>
      </c>
      <c r="C49" s="189"/>
      <c r="D49" s="189"/>
      <c r="E49" s="189"/>
      <c r="F49" s="189"/>
      <c r="G49" s="190"/>
      <c r="H49" s="191"/>
      <c r="I49" s="344"/>
    </row>
    <row r="50" spans="1:9" ht="14" outlineLevel="1">
      <c r="A50" s="202" t="s">
        <v>89</v>
      </c>
      <c r="B50" s="198" t="s">
        <v>661</v>
      </c>
      <c r="C50" s="213">
        <f>'Inputs (optional)'!C73/'Inputs (optional)'!C74</f>
        <v>20</v>
      </c>
      <c r="D50" s="213">
        <f>'Inputs (optional)'!D73/'Inputs (optional)'!D74</f>
        <v>21</v>
      </c>
      <c r="E50" s="213">
        <f>'Inputs (optional)'!E73/'Inputs (optional)'!E74</f>
        <v>21.5</v>
      </c>
      <c r="F50" s="213">
        <f>'Inputs (optional)'!F73/'Inputs (optional)'!F74</f>
        <v>21.5</v>
      </c>
      <c r="G50" s="81"/>
      <c r="H50" s="228"/>
      <c r="I50" s="201" t="s">
        <v>662</v>
      </c>
    </row>
    <row r="51" spans="1:9" ht="14" outlineLevel="1">
      <c r="A51" s="202" t="s">
        <v>89</v>
      </c>
      <c r="B51" s="198" t="s">
        <v>663</v>
      </c>
      <c r="C51" s="327">
        <f>'Inputs (optional)'!C75/'Inputs (optional)'!C76</f>
        <v>18</v>
      </c>
      <c r="D51" s="327">
        <f>'Inputs (optional)'!D75/'Inputs (optional)'!D76</f>
        <v>19</v>
      </c>
      <c r="E51" s="327">
        <f>'Inputs (optional)'!E75/'Inputs (optional)'!E76</f>
        <v>20</v>
      </c>
      <c r="F51" s="327">
        <f>'Inputs (optional)'!F75/'Inputs (optional)'!F76</f>
        <v>20</v>
      </c>
      <c r="G51" s="81"/>
      <c r="H51" s="228"/>
      <c r="I51" s="201" t="s">
        <v>662</v>
      </c>
    </row>
    <row r="52" spans="1:9" ht="28" outlineLevel="1">
      <c r="A52" s="202" t="s">
        <v>89</v>
      </c>
      <c r="B52" s="195" t="s">
        <v>664</v>
      </c>
      <c r="C52" s="213">
        <f>C50-C51</f>
        <v>2</v>
      </c>
      <c r="D52" s="213">
        <f>D50-D51</f>
        <v>2</v>
      </c>
      <c r="E52" s="213">
        <f>E50-E51</f>
        <v>1.5</v>
      </c>
      <c r="F52" s="213">
        <f>F50-F51</f>
        <v>1.5</v>
      </c>
      <c r="G52" s="81"/>
      <c r="H52" s="328" t="s">
        <v>547</v>
      </c>
      <c r="I52" s="201" t="s">
        <v>662</v>
      </c>
    </row>
    <row r="53" spans="1:9" ht="14" outlineLevel="1">
      <c r="A53" s="202" t="s">
        <v>89</v>
      </c>
      <c r="B53" s="198" t="s">
        <v>665</v>
      </c>
      <c r="C53" s="213">
        <f>'Inputs (optional)'!C78/'Inputs (optional)'!C79</f>
        <v>12000</v>
      </c>
      <c r="D53" s="213">
        <f>'Inputs (optional)'!D78/'Inputs (optional)'!D79</f>
        <v>16000</v>
      </c>
      <c r="E53" s="213">
        <f>'Inputs (optional)'!E78/'Inputs (optional)'!E79</f>
        <v>15000</v>
      </c>
      <c r="F53" s="213">
        <f>'Inputs (optional)'!F78/'Inputs (optional)'!F79</f>
        <v>15000</v>
      </c>
      <c r="G53" s="81"/>
      <c r="H53" s="228"/>
      <c r="I53" s="201" t="s">
        <v>666</v>
      </c>
    </row>
    <row r="54" spans="1:9" ht="14" outlineLevel="1">
      <c r="A54" s="202" t="s">
        <v>89</v>
      </c>
      <c r="B54" s="198" t="s">
        <v>667</v>
      </c>
      <c r="C54" s="327">
        <f>'Inputs (optional)'!C80/'Inputs (optional)'!C81</f>
        <v>10000</v>
      </c>
      <c r="D54" s="327">
        <f>'Inputs (optional)'!D80/'Inputs (optional)'!D81</f>
        <v>17000</v>
      </c>
      <c r="E54" s="327">
        <f>'Inputs (optional)'!E80/'Inputs (optional)'!E81</f>
        <v>15000</v>
      </c>
      <c r="F54" s="327">
        <f>'Inputs (optional)'!F80/'Inputs (optional)'!F81</f>
        <v>15000</v>
      </c>
      <c r="G54" s="81"/>
      <c r="H54" s="228"/>
      <c r="I54" s="201" t="s">
        <v>666</v>
      </c>
    </row>
    <row r="55" spans="1:9" ht="28" outlineLevel="1">
      <c r="A55" s="202" t="s">
        <v>89</v>
      </c>
      <c r="B55" s="195" t="s">
        <v>668</v>
      </c>
      <c r="C55" s="213">
        <f>C53-C54</f>
        <v>2000</v>
      </c>
      <c r="D55" s="213">
        <f>D53-D54</f>
        <v>-1000</v>
      </c>
      <c r="E55" s="213">
        <f>E53-E54</f>
        <v>0</v>
      </c>
      <c r="F55" s="213">
        <f>F53-F54</f>
        <v>0</v>
      </c>
      <c r="G55" s="81"/>
      <c r="H55" s="328" t="s">
        <v>547</v>
      </c>
      <c r="I55" s="201" t="s">
        <v>666</v>
      </c>
    </row>
    <row r="56" spans="1:9" ht="14">
      <c r="A56" s="199"/>
      <c r="B56" s="194" t="s">
        <v>244</v>
      </c>
      <c r="C56" s="189"/>
      <c r="D56" s="189"/>
      <c r="E56" s="189"/>
      <c r="F56" s="189"/>
      <c r="G56" s="190"/>
      <c r="H56" s="191"/>
      <c r="I56" s="344"/>
    </row>
    <row r="57" spans="1:9" ht="28" outlineLevel="1">
      <c r="A57" s="202" t="s">
        <v>109</v>
      </c>
      <c r="B57" s="195" t="s">
        <v>669</v>
      </c>
      <c r="C57" s="193" t="str">
        <f>'Inputs (optional)'!C83</f>
        <v>Not aligned</v>
      </c>
      <c r="D57" s="193" t="str">
        <f>'Inputs (optional)'!D83</f>
        <v>Partially aligned</v>
      </c>
      <c r="E57" s="193" t="str">
        <f>'Inputs (optional)'!E83</f>
        <v>Partially aligned</v>
      </c>
      <c r="F57" s="193" t="str">
        <f>'Inputs (optional)'!F83</f>
        <v>Partially aligned</v>
      </c>
      <c r="G57" s="81"/>
      <c r="H57" s="228" t="s">
        <v>439</v>
      </c>
      <c r="I57" s="201" t="s">
        <v>670</v>
      </c>
    </row>
    <row r="58" spans="1:9" ht="28" outlineLevel="1">
      <c r="A58" s="202" t="s">
        <v>109</v>
      </c>
      <c r="B58" s="195" t="s">
        <v>671</v>
      </c>
      <c r="C58" s="228">
        <f>'Inputs (optional)'!C32/'Inputs (optional)'!C33</f>
        <v>0.5</v>
      </c>
      <c r="D58" s="228">
        <f>'Inputs (optional)'!D32/'Inputs (optional)'!D33</f>
        <v>0.5</v>
      </c>
      <c r="E58" s="228" t="e">
        <f>'Inputs (optional)'!E32/'Inputs (optional)'!E33</f>
        <v>#DIV/0!</v>
      </c>
      <c r="F58" s="228" t="e">
        <f>'Inputs (optional)'!F32/'Inputs (optional)'!F33</f>
        <v>#DIV/0!</v>
      </c>
      <c r="G58" s="81"/>
      <c r="H58" s="228">
        <v>0.3</v>
      </c>
      <c r="I58" s="201" t="s">
        <v>672</v>
      </c>
    </row>
    <row r="59" spans="1:9" ht="28" outlineLevel="1">
      <c r="A59" s="202" t="s">
        <v>83</v>
      </c>
      <c r="B59" s="195" t="s">
        <v>673</v>
      </c>
      <c r="C59" s="193" t="str">
        <f>'Inputs (optional)'!C84</f>
        <v>Partially aligned</v>
      </c>
      <c r="D59" s="193" t="str">
        <f>'Inputs (optional)'!D84</f>
        <v>Partially aligned</v>
      </c>
      <c r="E59" s="193" t="str">
        <f>'Inputs (optional)'!E84</f>
        <v>Partially aligned</v>
      </c>
      <c r="F59" s="193" t="str">
        <f>'Inputs (optional)'!F84</f>
        <v>Partially aligned</v>
      </c>
      <c r="G59" s="81"/>
      <c r="H59" s="228" t="s">
        <v>439</v>
      </c>
      <c r="I59" s="201" t="s">
        <v>674</v>
      </c>
    </row>
    <row r="60" spans="1:9" ht="14" customHeight="1" outlineLevel="1">
      <c r="A60" s="203" t="s">
        <v>83</v>
      </c>
      <c r="B60" s="204" t="s">
        <v>311</v>
      </c>
      <c r="C60" s="205" t="str">
        <f>'Inputs (optional)'!C86</f>
        <v>Not aligned</v>
      </c>
      <c r="D60" s="205" t="str">
        <f>'Inputs (optional)'!D86</f>
        <v>Not aligned</v>
      </c>
      <c r="E60" s="205" t="str">
        <f>'Inputs (optional)'!E86</f>
        <v>Not aligned</v>
      </c>
      <c r="F60" s="205" t="str">
        <f>'Inputs (optional)'!F86</f>
        <v>Not aligned</v>
      </c>
      <c r="G60" s="168"/>
      <c r="H60" s="228" t="s">
        <v>439</v>
      </c>
      <c r="I60" s="206" t="s">
        <v>675</v>
      </c>
    </row>
  </sheetData>
  <autoFilter ref="A4:I60" xr:uid="{30B4C655-01C8-46A0-A67D-12557C9C2A39}"/>
  <phoneticPr fontId="41" type="noConversion"/>
  <hyperlinks>
    <hyperlink ref="I7" location="'Guide '!Q3" display="Guide '!Q2" xr:uid="{F78DACD2-4634-4E23-A5C1-C8E46673AA45}"/>
    <hyperlink ref="I8" location="'Guide '!Q6" display="'Guide '!Q6" xr:uid="{D97D3500-03AE-4627-BA26-2A70E16A573E}"/>
    <hyperlink ref="I9" location="'Guide '!Q9" display="'Guide '!Q9" xr:uid="{FCAE97F0-4FDC-480C-957F-8379C81780D1}"/>
    <hyperlink ref="I10" location="'Guide '!Q11" display="'Guide '!Q11" xr:uid="{54AAA475-0D3A-4025-86F4-1305407335C6}"/>
    <hyperlink ref="I11" location="'Guide '!Q13" display="'Guide '!Q13" xr:uid="{9C0E1767-B7D2-4A2E-8E64-3911A61F37DE}"/>
    <hyperlink ref="I12" location="'Guide '!Q15" display="'Guide '!Q15" xr:uid="{C6FC3E2B-9C17-45B1-A23C-55B59DF97B49}"/>
    <hyperlink ref="I13" location="'Guide '!Q17" display="'Guide '!Q17" xr:uid="{45900907-778D-4C39-90F1-0737C7D54936}"/>
    <hyperlink ref="I15" location="'Guide '!Q20" display="'Guide '!Q20" xr:uid="{A4D6BEE1-7C64-4426-8D91-99FA999AC2D7}"/>
    <hyperlink ref="I20" location="'Guide '!Q23" display="Guide '!Q23" xr:uid="{4B15CD23-A156-40E2-A00C-471658ECF0FF}"/>
    <hyperlink ref="I16" location="'Guide '!Q20" display="'Guide '!Q20" xr:uid="{FA902F8A-4981-451F-81E0-7AD23AF3221C}"/>
    <hyperlink ref="I17" location="'Guide '!Q20" display="'Guide '!Q20" xr:uid="{57C521D4-FF13-4D09-986F-4C44F8AC986E}"/>
    <hyperlink ref="I18" location="'Guide '!Q20" display="'Guide '!Q20" xr:uid="{3A806AAB-F413-403C-A2F4-9BB7FE6655AB}"/>
    <hyperlink ref="I21" location="'Guide '!Q26" display="Guide '!Q26" xr:uid="{8F256AB9-D32D-4FCD-98D2-40026CA94306}"/>
    <hyperlink ref="I22" location="'Guide '!Q26" display="Guide '!Q26" xr:uid="{20D0155D-BE03-4ADA-88CF-E92F83CEF7D5}"/>
    <hyperlink ref="I23" location="'Guide '!Q26" display="Guide '!Q26" xr:uid="{2BDA4FD5-5454-4C4C-9D75-063328B9701A}"/>
    <hyperlink ref="I24" location="'Guide '!Q26" display="Guide '!Q26" xr:uid="{440902E9-05BC-4F29-B2B6-1AD1DDE001F5}"/>
    <hyperlink ref="I25" location="'Guide '!Q26" display="Guide '!Q26" xr:uid="{4217F77F-57E7-4A99-AC7F-2B1F5426F998}"/>
    <hyperlink ref="I26" location="'Guide '!Q26" display="Guide '!Q26" xr:uid="{6C9A114B-D312-4AA4-97ED-B2365A4F0728}"/>
    <hyperlink ref="I28" location="'Guide '!Q29" display="'Guide '!Q29" xr:uid="{E26D7939-BBF4-45AD-B086-F83DCC5976DF}"/>
    <hyperlink ref="I29" location="'Guide '!Q33" display="'Guide '!Q33" xr:uid="{898F5CFF-06C1-439C-80A7-5E83994674F0}"/>
    <hyperlink ref="I31" location="'Guide '!Q36" display="'Guide '!Q36" xr:uid="{F7374B42-3B05-4B54-8944-988A21CF6A24}"/>
    <hyperlink ref="I32" location="'Guide '!Q40" display="'Guide '!Q40" xr:uid="{80995EC3-791D-40D6-A9B6-E976D3DECB72}"/>
    <hyperlink ref="I33" location="'Guide '!Q43" display="'Guide '!Q43" xr:uid="{F6535D73-7335-4EA3-9725-B6290C54E26F}"/>
    <hyperlink ref="I34" location="'Guide '!Q45" display="'Guide '!Q45" xr:uid="{5ABBE3D3-8768-432E-80AE-CF9881452756}"/>
    <hyperlink ref="I35" location="'Guide '!Q47" display="'Guide '!Q47" xr:uid="{1E3E4EC6-AABE-4AED-8A36-CC84317AB743}"/>
    <hyperlink ref="I36" location="'Guide '!Q50" display="'Guide '!Q50" xr:uid="{4A746A1E-2407-4C2D-B1FD-7A212FAA76AC}"/>
    <hyperlink ref="I37" location="'Guide '!Q54" display="'Guide '!Q54" xr:uid="{A484B431-FD44-4511-B9A2-271F566C3888}"/>
    <hyperlink ref="I38" location="'Guide '!Q55" display="'Guide '!Q55" xr:uid="{359454C1-B077-4A7A-B5D9-36AFBF110C17}"/>
    <hyperlink ref="I39" location="'Guide '!Q58" display="'Guide '!Q58" xr:uid="{4F20F472-CB26-4A1B-B193-859F85C9078A}"/>
    <hyperlink ref="I40" location="'Guide '!Q60" display="'Guide '!Q60" xr:uid="{03219343-98F1-4329-BD70-53170324957D}"/>
    <hyperlink ref="I41" location="'Guide '!Q63" display="'Guide '!Q63" xr:uid="{04852707-A69E-49E4-8407-2D942CB0CBC4}"/>
    <hyperlink ref="I42" location="'Guide '!Q66" display="'Guide '!Q66" xr:uid="{716BF7DE-31FA-4010-996E-E076B1A77646}"/>
    <hyperlink ref="I43" location="'Guide '!Q67" display="'Guide '!Q67" xr:uid="{DAC7785B-089B-46F0-A838-DE72F290EFFC}"/>
    <hyperlink ref="I46" location="'Guide '!Q70" display="'Guide '!Q70" xr:uid="{687A35E0-6394-474F-B138-DD2240993BBE}"/>
    <hyperlink ref="I47" location="'Guide '!Q71" display="'Guide '!Q71" xr:uid="{D8DB1280-E116-486B-B214-78A9D0960293}"/>
    <hyperlink ref="I48" location="'Guide '!Q72" display="'Guide '!Q72" xr:uid="{E102C7EE-7772-4606-ABAF-35C76BFAA398}"/>
    <hyperlink ref="I50" location="'Guide '!Q73" display="'Guide '!Q73" xr:uid="{88BEC4C5-9757-48B2-8E42-811522AB7F98}"/>
    <hyperlink ref="I51" location="'Guide '!Q73" display="'Guide '!Q73" xr:uid="{68B22E21-BE6B-4586-8ADA-72169281E500}"/>
    <hyperlink ref="I52" location="'Guide '!Q73" display="'Guide '!Q73" xr:uid="{AD0A5F17-8644-4F01-97F9-AABE920BAA97}"/>
    <hyperlink ref="I53" location="'Guide '!Q74" display="'Guide '!Q74" xr:uid="{4524AF92-86EE-43CA-AF56-35284485E787}"/>
    <hyperlink ref="I54" location="'Guide '!Q74" display="'Guide '!Q74" xr:uid="{15CF696C-AB70-4CEE-81D0-A953E8E66CB8}"/>
    <hyperlink ref="I55" location="'Guide '!Q74" display="'Guide '!Q74" xr:uid="{B425A1A5-6BCE-4F9A-8CFF-FC44F9041C06}"/>
    <hyperlink ref="I57" location="'Guide '!Q75" display="'Guide '!Q75" xr:uid="{D9179C19-B0E0-425C-BF48-C5DE6FAB0919}"/>
    <hyperlink ref="I58" location="'Guide '!Q76" display="'Guide '!Q76" xr:uid="{F8B574B4-DDA9-4000-8618-BC6CF38C45FD}"/>
    <hyperlink ref="I59" location="'Guide '!Q77" display="'Guide '!Q77" xr:uid="{187EED0D-ACDF-4406-B708-C3B565DEB71B}"/>
    <hyperlink ref="I60" location="'Guide '!Q79" display="'Guide '!Q79" xr:uid="{3C81CCCB-1EF9-41DB-8DDA-C7EA2927465A}"/>
  </hyperlinks>
  <pageMargins left="0.7" right="0.7" top="0.75" bottom="0.75" header="0.3" footer="0.3"/>
  <pageSetup paperSize="9" scale="33" orientation="landscape" r:id="rId1"/>
  <ignoredErrors>
    <ignoredError sqref="D26" evalError="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68EB1-DCFC-44D8-8724-C86FFAAFEF42}">
  <sheetPr>
    <tabColor rgb="FF9CA71C"/>
    <outlinePr summaryBelow="0" summaryRight="0"/>
    <pageSetUpPr fitToPage="1"/>
  </sheetPr>
  <dimension ref="A1:R86"/>
  <sheetViews>
    <sheetView showGridLines="0" view="pageBreakPreview" zoomScale="82" zoomScaleNormal="60" zoomScaleSheetLayoutView="82" workbookViewId="0">
      <pane xSplit="8" ySplit="2" topLeftCell="O3" activePane="bottomRight" state="frozen"/>
      <selection pane="topRight" activeCell="I1" sqref="I1"/>
      <selection pane="bottomLeft" activeCell="A2" sqref="A2"/>
      <selection pane="bottomRight" activeCell="Q3" sqref="Q3:Q5"/>
    </sheetView>
  </sheetViews>
  <sheetFormatPr baseColWidth="10" defaultColWidth="12.5" defaultRowHeight="15.75" customHeight="1"/>
  <cols>
    <col min="1" max="1" width="7.1640625" customWidth="1"/>
    <col min="2" max="2" width="18" customWidth="1"/>
    <col min="3" max="3" width="14.5" customWidth="1"/>
    <col min="4" max="4" width="12" customWidth="1"/>
    <col min="5" max="5" width="15.5" customWidth="1"/>
    <col min="6" max="6" width="14.5" customWidth="1"/>
    <col min="7" max="7" width="15" customWidth="1"/>
    <col min="8" max="8" width="18.5" customWidth="1"/>
    <col min="12" max="12" width="11.5" customWidth="1"/>
    <col min="13" max="13" width="13.5" customWidth="1"/>
    <col min="14" max="14" width="32.5" customWidth="1"/>
    <col min="15" max="15" width="20.5" customWidth="1"/>
    <col min="16" max="16" width="18.1640625" customWidth="1"/>
    <col min="17" max="17" width="29.5" customWidth="1"/>
    <col min="18" max="18" width="45.5" customWidth="1"/>
    <col min="19" max="19" width="21.5" customWidth="1"/>
    <col min="20" max="20" width="30" customWidth="1"/>
  </cols>
  <sheetData>
    <row r="1" spans="1:18" ht="34.25" customHeight="1">
      <c r="A1" s="247"/>
      <c r="B1" s="83"/>
    </row>
    <row r="2" spans="1:18" ht="26">
      <c r="A2" s="295"/>
      <c r="B2" s="48" t="s">
        <v>312</v>
      </c>
      <c r="C2" s="48" t="s">
        <v>313</v>
      </c>
      <c r="D2" s="48" t="s">
        <v>314</v>
      </c>
      <c r="E2" s="48" t="s">
        <v>315</v>
      </c>
      <c r="F2" s="48" t="s">
        <v>316</v>
      </c>
      <c r="G2" s="48" t="s">
        <v>317</v>
      </c>
      <c r="H2" s="48" t="s">
        <v>318</v>
      </c>
      <c r="I2" s="48" t="s">
        <v>319</v>
      </c>
      <c r="J2" s="48" t="s">
        <v>320</v>
      </c>
      <c r="K2" s="48" t="s">
        <v>321</v>
      </c>
      <c r="L2" s="48" t="s">
        <v>322</v>
      </c>
      <c r="M2" s="48" t="s">
        <v>323</v>
      </c>
      <c r="N2" s="48" t="s">
        <v>324</v>
      </c>
      <c r="O2" s="48" t="s">
        <v>325</v>
      </c>
      <c r="P2" s="48" t="s">
        <v>326</v>
      </c>
      <c r="Q2" s="48" t="s">
        <v>327</v>
      </c>
      <c r="R2" s="296" t="s">
        <v>328</v>
      </c>
    </row>
    <row r="3" spans="1:18" ht="72.5" customHeight="1">
      <c r="A3" s="425" t="b">
        <v>1</v>
      </c>
      <c r="B3" s="418" t="s">
        <v>77</v>
      </c>
      <c r="C3" s="412" t="s">
        <v>329</v>
      </c>
      <c r="D3" s="412" t="s">
        <v>330</v>
      </c>
      <c r="E3" s="412" t="s">
        <v>331</v>
      </c>
      <c r="F3" s="412" t="s">
        <v>332</v>
      </c>
      <c r="G3" s="412" t="s">
        <v>333</v>
      </c>
      <c r="H3" s="50" t="s">
        <v>676</v>
      </c>
      <c r="I3" s="412" t="s">
        <v>335</v>
      </c>
      <c r="J3" s="401" t="s">
        <v>336</v>
      </c>
      <c r="K3" s="412" t="s">
        <v>337</v>
      </c>
      <c r="L3" s="412" t="s">
        <v>338</v>
      </c>
      <c r="M3" s="412" t="s">
        <v>339</v>
      </c>
      <c r="N3" s="412" t="s">
        <v>340</v>
      </c>
      <c r="O3" s="401" t="s">
        <v>341</v>
      </c>
      <c r="P3" s="412" t="s">
        <v>329</v>
      </c>
      <c r="Q3" s="412" t="s">
        <v>342</v>
      </c>
      <c r="R3" s="55" t="s">
        <v>677</v>
      </c>
    </row>
    <row r="4" spans="1:18" ht="46.5" customHeight="1">
      <c r="A4" s="426"/>
      <c r="B4" s="419"/>
      <c r="C4" s="413"/>
      <c r="D4" s="413"/>
      <c r="E4" s="413"/>
      <c r="F4" s="413"/>
      <c r="G4" s="413"/>
      <c r="H4" s="423" t="s">
        <v>375</v>
      </c>
      <c r="I4" s="413"/>
      <c r="J4" s="402"/>
      <c r="K4" s="413"/>
      <c r="L4" s="413"/>
      <c r="M4" s="413"/>
      <c r="N4" s="413"/>
      <c r="O4" s="402"/>
      <c r="P4" s="413"/>
      <c r="Q4" s="413"/>
      <c r="R4" s="55" t="s">
        <v>678</v>
      </c>
    </row>
    <row r="5" spans="1:18" ht="55" customHeight="1">
      <c r="A5" s="427"/>
      <c r="B5" s="420"/>
      <c r="C5" s="414"/>
      <c r="D5" s="414"/>
      <c r="E5" s="414"/>
      <c r="F5" s="414"/>
      <c r="G5" s="414"/>
      <c r="H5" s="424"/>
      <c r="I5" s="414"/>
      <c r="J5" s="403"/>
      <c r="K5" s="414"/>
      <c r="L5" s="414"/>
      <c r="M5" s="414"/>
      <c r="N5" s="414"/>
      <c r="O5" s="403"/>
      <c r="P5" s="414"/>
      <c r="Q5" s="414"/>
      <c r="R5" s="289" t="s">
        <v>679</v>
      </c>
    </row>
    <row r="6" spans="1:18" ht="75.25" customHeight="1">
      <c r="A6" s="431" t="b">
        <v>1</v>
      </c>
      <c r="B6" s="418" t="s">
        <v>77</v>
      </c>
      <c r="C6" s="412" t="s">
        <v>329</v>
      </c>
      <c r="D6" s="412" t="s">
        <v>330</v>
      </c>
      <c r="E6" s="412" t="s">
        <v>344</v>
      </c>
      <c r="F6" s="412" t="s">
        <v>345</v>
      </c>
      <c r="G6" s="412" t="s">
        <v>346</v>
      </c>
      <c r="H6" s="50" t="s">
        <v>676</v>
      </c>
      <c r="I6" s="428" t="s">
        <v>347</v>
      </c>
      <c r="J6" s="50" t="s">
        <v>336</v>
      </c>
      <c r="K6" s="412" t="s">
        <v>337</v>
      </c>
      <c r="L6" s="412" t="s">
        <v>349</v>
      </c>
      <c r="M6" s="412" t="s">
        <v>350</v>
      </c>
      <c r="N6" s="412" t="s">
        <v>351</v>
      </c>
      <c r="O6" s="401" t="s">
        <v>352</v>
      </c>
      <c r="P6" s="412" t="s">
        <v>353</v>
      </c>
      <c r="Q6" s="412" t="s">
        <v>354</v>
      </c>
      <c r="R6" s="55" t="s">
        <v>677</v>
      </c>
    </row>
    <row r="7" spans="1:18" ht="78" customHeight="1">
      <c r="A7" s="432"/>
      <c r="B7" s="419"/>
      <c r="C7" s="413"/>
      <c r="D7" s="413"/>
      <c r="E7" s="413"/>
      <c r="F7" s="413"/>
      <c r="G7" s="413"/>
      <c r="H7" s="423" t="s">
        <v>375</v>
      </c>
      <c r="I7" s="429"/>
      <c r="J7" s="423" t="s">
        <v>680</v>
      </c>
      <c r="K7" s="413"/>
      <c r="L7" s="413"/>
      <c r="M7" s="413"/>
      <c r="N7" s="413"/>
      <c r="O7" s="402"/>
      <c r="P7" s="413"/>
      <c r="Q7" s="413"/>
      <c r="R7" s="55" t="s">
        <v>678</v>
      </c>
    </row>
    <row r="8" spans="1:18" ht="75" customHeight="1">
      <c r="A8" s="432"/>
      <c r="B8" s="419"/>
      <c r="C8" s="413"/>
      <c r="D8" s="413"/>
      <c r="E8" s="413"/>
      <c r="F8" s="413"/>
      <c r="G8" s="413"/>
      <c r="H8" s="424"/>
      <c r="I8" s="429"/>
      <c r="J8" s="430"/>
      <c r="K8" s="413"/>
      <c r="L8" s="413"/>
      <c r="M8" s="413"/>
      <c r="N8" s="413"/>
      <c r="O8" s="402"/>
      <c r="P8" s="413"/>
      <c r="Q8" s="413"/>
      <c r="R8" s="289" t="s">
        <v>681</v>
      </c>
    </row>
    <row r="9" spans="1:18" ht="77.5" customHeight="1">
      <c r="A9" s="415" t="b">
        <v>1</v>
      </c>
      <c r="B9" s="418" t="s">
        <v>77</v>
      </c>
      <c r="C9" s="412" t="s">
        <v>329</v>
      </c>
      <c r="D9" s="412" t="s">
        <v>330</v>
      </c>
      <c r="E9" s="412" t="s">
        <v>356</v>
      </c>
      <c r="F9" s="412" t="s">
        <v>357</v>
      </c>
      <c r="G9" s="412" t="s">
        <v>358</v>
      </c>
      <c r="H9" s="50" t="s">
        <v>676</v>
      </c>
      <c r="I9" s="412" t="s">
        <v>347</v>
      </c>
      <c r="J9" s="401" t="s">
        <v>359</v>
      </c>
      <c r="K9" s="412" t="s">
        <v>337</v>
      </c>
      <c r="L9" s="412" t="s">
        <v>349</v>
      </c>
      <c r="M9" s="412" t="s">
        <v>350</v>
      </c>
      <c r="N9" s="412" t="s">
        <v>360</v>
      </c>
      <c r="O9" s="401" t="s">
        <v>352</v>
      </c>
      <c r="P9" s="412" t="s">
        <v>361</v>
      </c>
      <c r="Q9" s="412" t="s">
        <v>362</v>
      </c>
      <c r="R9" s="55" t="s">
        <v>682</v>
      </c>
    </row>
    <row r="10" spans="1:18" ht="78.5" customHeight="1">
      <c r="A10" s="417"/>
      <c r="B10" s="420"/>
      <c r="C10" s="414"/>
      <c r="D10" s="414"/>
      <c r="E10" s="414"/>
      <c r="F10" s="414"/>
      <c r="G10" s="414"/>
      <c r="H10" s="290" t="s">
        <v>375</v>
      </c>
      <c r="I10" s="414"/>
      <c r="J10" s="403"/>
      <c r="K10" s="414"/>
      <c r="L10" s="414"/>
      <c r="M10" s="414"/>
      <c r="N10" s="414"/>
      <c r="O10" s="403"/>
      <c r="P10" s="414"/>
      <c r="Q10" s="414"/>
      <c r="R10" s="289" t="s">
        <v>683</v>
      </c>
    </row>
    <row r="11" spans="1:18" ht="105" customHeight="1">
      <c r="A11" s="415" t="b">
        <v>1</v>
      </c>
      <c r="B11" s="418" t="s">
        <v>77</v>
      </c>
      <c r="C11" s="412" t="s">
        <v>329</v>
      </c>
      <c r="D11" s="412" t="s">
        <v>330</v>
      </c>
      <c r="E11" s="412" t="s">
        <v>364</v>
      </c>
      <c r="F11" s="412" t="s">
        <v>365</v>
      </c>
      <c r="G11" s="412" t="s">
        <v>366</v>
      </c>
      <c r="H11" s="50" t="s">
        <v>676</v>
      </c>
      <c r="I11" s="412" t="s">
        <v>347</v>
      </c>
      <c r="J11" s="401" t="s">
        <v>359</v>
      </c>
      <c r="K11" s="412" t="s">
        <v>337</v>
      </c>
      <c r="L11" s="412" t="s">
        <v>349</v>
      </c>
      <c r="M11" s="412" t="s">
        <v>350</v>
      </c>
      <c r="N11" s="412" t="s">
        <v>367</v>
      </c>
      <c r="O11" s="401" t="s">
        <v>368</v>
      </c>
      <c r="P11" s="412" t="s">
        <v>369</v>
      </c>
      <c r="Q11" s="412" t="s">
        <v>370</v>
      </c>
      <c r="R11" s="55" t="s">
        <v>684</v>
      </c>
    </row>
    <row r="12" spans="1:18" ht="97" customHeight="1">
      <c r="A12" s="417"/>
      <c r="B12" s="420"/>
      <c r="C12" s="414"/>
      <c r="D12" s="414"/>
      <c r="E12" s="414"/>
      <c r="F12" s="414"/>
      <c r="G12" s="414"/>
      <c r="H12" s="290" t="s">
        <v>375</v>
      </c>
      <c r="I12" s="414"/>
      <c r="J12" s="403"/>
      <c r="K12" s="414"/>
      <c r="L12" s="414"/>
      <c r="M12" s="414"/>
      <c r="N12" s="414"/>
      <c r="O12" s="403"/>
      <c r="P12" s="414"/>
      <c r="Q12" s="414"/>
      <c r="R12" s="289" t="s">
        <v>685</v>
      </c>
    </row>
    <row r="13" spans="1:18" ht="104" customHeight="1">
      <c r="A13" s="390" t="b">
        <v>1</v>
      </c>
      <c r="B13" s="393" t="s">
        <v>89</v>
      </c>
      <c r="C13" s="396" t="s">
        <v>329</v>
      </c>
      <c r="D13" s="396" t="s">
        <v>330</v>
      </c>
      <c r="E13" s="396" t="s">
        <v>372</v>
      </c>
      <c r="F13" s="396" t="s">
        <v>373</v>
      </c>
      <c r="G13" s="396" t="s">
        <v>374</v>
      </c>
      <c r="H13" s="399" t="s">
        <v>375</v>
      </c>
      <c r="I13" s="396" t="s">
        <v>347</v>
      </c>
      <c r="J13" s="282" t="s">
        <v>336</v>
      </c>
      <c r="K13" s="396" t="s">
        <v>337</v>
      </c>
      <c r="L13" s="396" t="s">
        <v>338</v>
      </c>
      <c r="M13" s="396" t="s">
        <v>376</v>
      </c>
      <c r="N13" s="396" t="s">
        <v>351</v>
      </c>
      <c r="O13" s="399" t="s">
        <v>352</v>
      </c>
      <c r="P13" s="396" t="s">
        <v>377</v>
      </c>
      <c r="Q13" s="396" t="s">
        <v>378</v>
      </c>
      <c r="R13" s="283" t="s">
        <v>684</v>
      </c>
    </row>
    <row r="14" spans="1:18" ht="93.5" customHeight="1">
      <c r="A14" s="392"/>
      <c r="B14" s="395"/>
      <c r="C14" s="398"/>
      <c r="D14" s="398"/>
      <c r="E14" s="398"/>
      <c r="F14" s="398"/>
      <c r="G14" s="398"/>
      <c r="H14" s="400"/>
      <c r="I14" s="398"/>
      <c r="J14" s="282" t="s">
        <v>686</v>
      </c>
      <c r="K14" s="398"/>
      <c r="L14" s="398"/>
      <c r="M14" s="398"/>
      <c r="N14" s="398"/>
      <c r="O14" s="400"/>
      <c r="P14" s="398"/>
      <c r="Q14" s="398"/>
      <c r="R14" s="291" t="s">
        <v>685</v>
      </c>
    </row>
    <row r="15" spans="1:18" ht="93.5" customHeight="1">
      <c r="A15" s="390" t="b">
        <v>1</v>
      </c>
      <c r="B15" s="393" t="s">
        <v>89</v>
      </c>
      <c r="C15" s="396" t="s">
        <v>329</v>
      </c>
      <c r="D15" s="396" t="s">
        <v>330</v>
      </c>
      <c r="E15" s="396" t="s">
        <v>379</v>
      </c>
      <c r="F15" s="396" t="s">
        <v>380</v>
      </c>
      <c r="G15" s="396" t="s">
        <v>381</v>
      </c>
      <c r="H15" s="399" t="s">
        <v>375</v>
      </c>
      <c r="I15" s="396" t="s">
        <v>347</v>
      </c>
      <c r="J15" s="399" t="s">
        <v>336</v>
      </c>
      <c r="K15" s="396" t="s">
        <v>337</v>
      </c>
      <c r="L15" s="396" t="s">
        <v>338</v>
      </c>
      <c r="M15" s="396" t="s">
        <v>376</v>
      </c>
      <c r="N15" s="396" t="s">
        <v>351</v>
      </c>
      <c r="O15" s="399" t="s">
        <v>352</v>
      </c>
      <c r="P15" s="396" t="s">
        <v>382</v>
      </c>
      <c r="Q15" s="396" t="s">
        <v>383</v>
      </c>
      <c r="R15" s="283" t="s">
        <v>687</v>
      </c>
    </row>
    <row r="16" spans="1:18" ht="108.5" customHeight="1">
      <c r="A16" s="392"/>
      <c r="B16" s="395"/>
      <c r="C16" s="398"/>
      <c r="D16" s="398"/>
      <c r="E16" s="398"/>
      <c r="F16" s="398"/>
      <c r="G16" s="398"/>
      <c r="H16" s="400"/>
      <c r="I16" s="398"/>
      <c r="J16" s="400"/>
      <c r="K16" s="398"/>
      <c r="L16" s="398"/>
      <c r="M16" s="398"/>
      <c r="N16" s="398"/>
      <c r="O16" s="400"/>
      <c r="P16" s="398"/>
      <c r="Q16" s="398"/>
      <c r="R16" s="291" t="s">
        <v>688</v>
      </c>
    </row>
    <row r="17" spans="1:18" ht="51" customHeight="1">
      <c r="A17" s="390" t="b">
        <v>1</v>
      </c>
      <c r="B17" s="393" t="s">
        <v>89</v>
      </c>
      <c r="C17" s="396" t="s">
        <v>329</v>
      </c>
      <c r="D17" s="396" t="s">
        <v>330</v>
      </c>
      <c r="E17" s="396" t="s">
        <v>385</v>
      </c>
      <c r="F17" s="396" t="s">
        <v>386</v>
      </c>
      <c r="G17" s="396" t="s">
        <v>387</v>
      </c>
      <c r="H17" s="399" t="s">
        <v>375</v>
      </c>
      <c r="I17" s="396" t="s">
        <v>335</v>
      </c>
      <c r="J17" s="399" t="s">
        <v>336</v>
      </c>
      <c r="K17" s="396" t="s">
        <v>337</v>
      </c>
      <c r="L17" s="396" t="s">
        <v>388</v>
      </c>
      <c r="M17" s="396" t="s">
        <v>389</v>
      </c>
      <c r="N17" s="396" t="s">
        <v>340</v>
      </c>
      <c r="O17" s="399" t="s">
        <v>341</v>
      </c>
      <c r="P17" s="396" t="s">
        <v>390</v>
      </c>
      <c r="Q17" s="396" t="s">
        <v>391</v>
      </c>
      <c r="R17" s="283" t="s">
        <v>689</v>
      </c>
    </row>
    <row r="18" spans="1:18" ht="48.5" customHeight="1">
      <c r="A18" s="391"/>
      <c r="B18" s="394"/>
      <c r="C18" s="397"/>
      <c r="D18" s="397"/>
      <c r="E18" s="397"/>
      <c r="F18" s="397"/>
      <c r="G18" s="397"/>
      <c r="H18" s="408"/>
      <c r="I18" s="397"/>
      <c r="J18" s="408"/>
      <c r="K18" s="397"/>
      <c r="L18" s="397"/>
      <c r="M18" s="397"/>
      <c r="N18" s="397"/>
      <c r="O18" s="408"/>
      <c r="P18" s="397"/>
      <c r="Q18" s="397"/>
      <c r="R18" s="291" t="s">
        <v>690</v>
      </c>
    </row>
    <row r="19" spans="1:18" ht="48.5" customHeight="1">
      <c r="A19" s="392"/>
      <c r="B19" s="395"/>
      <c r="C19" s="398"/>
      <c r="D19" s="398"/>
      <c r="E19" s="398"/>
      <c r="F19" s="398"/>
      <c r="G19" s="398"/>
      <c r="H19" s="400"/>
      <c r="I19" s="398"/>
      <c r="J19" s="400"/>
      <c r="K19" s="398"/>
      <c r="L19" s="398"/>
      <c r="M19" s="398"/>
      <c r="N19" s="398"/>
      <c r="O19" s="400"/>
      <c r="P19" s="398"/>
      <c r="Q19" s="398"/>
      <c r="R19" s="291" t="s">
        <v>691</v>
      </c>
    </row>
    <row r="20" spans="1:18" ht="96.5" customHeight="1">
      <c r="A20" s="390" t="b">
        <v>1</v>
      </c>
      <c r="B20" s="393" t="s">
        <v>89</v>
      </c>
      <c r="C20" s="396" t="s">
        <v>329</v>
      </c>
      <c r="D20" s="396" t="s">
        <v>330</v>
      </c>
      <c r="E20" s="396" t="s">
        <v>393</v>
      </c>
      <c r="F20" s="396" t="s">
        <v>394</v>
      </c>
      <c r="G20" s="396" t="s">
        <v>395</v>
      </c>
      <c r="H20" s="399" t="s">
        <v>396</v>
      </c>
      <c r="I20" s="396">
        <v>1</v>
      </c>
      <c r="J20" s="399" t="s">
        <v>397</v>
      </c>
      <c r="K20" s="396" t="s">
        <v>337</v>
      </c>
      <c r="L20" s="396" t="s">
        <v>349</v>
      </c>
      <c r="M20" s="396" t="s">
        <v>350</v>
      </c>
      <c r="N20" s="396" t="s">
        <v>398</v>
      </c>
      <c r="O20" s="284" t="s">
        <v>692</v>
      </c>
      <c r="P20" s="396" t="s">
        <v>329</v>
      </c>
      <c r="Q20" s="396" t="s">
        <v>400</v>
      </c>
      <c r="R20" s="291" t="s">
        <v>693</v>
      </c>
    </row>
    <row r="21" spans="1:18" ht="107.5" customHeight="1">
      <c r="A21" s="391"/>
      <c r="B21" s="394"/>
      <c r="C21" s="397"/>
      <c r="D21" s="397"/>
      <c r="E21" s="397"/>
      <c r="F21" s="397"/>
      <c r="G21" s="397"/>
      <c r="H21" s="408"/>
      <c r="I21" s="397"/>
      <c r="J21" s="408"/>
      <c r="K21" s="397"/>
      <c r="L21" s="397"/>
      <c r="M21" s="397"/>
      <c r="N21" s="397"/>
      <c r="O21" s="294" t="s">
        <v>694</v>
      </c>
      <c r="P21" s="397"/>
      <c r="Q21" s="397"/>
      <c r="R21" s="291" t="s">
        <v>695</v>
      </c>
    </row>
    <row r="22" spans="1:18" ht="80.5" customHeight="1">
      <c r="A22" s="392"/>
      <c r="B22" s="395"/>
      <c r="C22" s="398"/>
      <c r="D22" s="398"/>
      <c r="E22" s="398"/>
      <c r="F22" s="398"/>
      <c r="G22" s="398"/>
      <c r="H22" s="400"/>
      <c r="I22" s="398"/>
      <c r="J22" s="400"/>
      <c r="K22" s="398"/>
      <c r="L22" s="398"/>
      <c r="M22" s="398"/>
      <c r="N22" s="398"/>
      <c r="O22" s="294" t="s">
        <v>696</v>
      </c>
      <c r="P22" s="398"/>
      <c r="Q22" s="398"/>
      <c r="R22" s="291" t="s">
        <v>697</v>
      </c>
    </row>
    <row r="23" spans="1:18" ht="52" customHeight="1">
      <c r="A23" s="390" t="b">
        <v>1</v>
      </c>
      <c r="B23" s="393" t="s">
        <v>89</v>
      </c>
      <c r="C23" s="396" t="s">
        <v>329</v>
      </c>
      <c r="D23" s="396" t="s">
        <v>402</v>
      </c>
      <c r="E23" s="396" t="s">
        <v>403</v>
      </c>
      <c r="F23" s="396" t="s">
        <v>404</v>
      </c>
      <c r="G23" s="396" t="s">
        <v>405</v>
      </c>
      <c r="H23" s="399" t="s">
        <v>396</v>
      </c>
      <c r="I23" s="396" t="s">
        <v>406</v>
      </c>
      <c r="J23" s="399" t="s">
        <v>396</v>
      </c>
      <c r="K23" s="396" t="s">
        <v>407</v>
      </c>
      <c r="L23" s="396" t="s">
        <v>338</v>
      </c>
      <c r="M23" s="396" t="s">
        <v>376</v>
      </c>
      <c r="N23" s="396" t="s">
        <v>408</v>
      </c>
      <c r="O23" s="399" t="s">
        <v>375</v>
      </c>
      <c r="P23" s="396" t="s">
        <v>329</v>
      </c>
      <c r="Q23" s="396" t="s">
        <v>409</v>
      </c>
      <c r="R23" s="285" t="s">
        <v>698</v>
      </c>
    </row>
    <row r="24" spans="1:18" ht="41" customHeight="1">
      <c r="A24" s="391"/>
      <c r="B24" s="394"/>
      <c r="C24" s="397"/>
      <c r="D24" s="397"/>
      <c r="E24" s="397"/>
      <c r="F24" s="397"/>
      <c r="G24" s="397"/>
      <c r="H24" s="408"/>
      <c r="I24" s="397"/>
      <c r="J24" s="408"/>
      <c r="K24" s="397"/>
      <c r="L24" s="397"/>
      <c r="M24" s="397"/>
      <c r="N24" s="397"/>
      <c r="O24" s="408"/>
      <c r="P24" s="397"/>
      <c r="Q24" s="397"/>
      <c r="R24" s="283" t="s">
        <v>699</v>
      </c>
    </row>
    <row r="25" spans="1:18" ht="31.5" customHeight="1">
      <c r="A25" s="392"/>
      <c r="B25" s="395"/>
      <c r="C25" s="398"/>
      <c r="D25" s="398"/>
      <c r="E25" s="398"/>
      <c r="F25" s="398"/>
      <c r="G25" s="398"/>
      <c r="H25" s="400"/>
      <c r="I25" s="398"/>
      <c r="J25" s="400"/>
      <c r="K25" s="398"/>
      <c r="L25" s="398"/>
      <c r="M25" s="398"/>
      <c r="N25" s="398"/>
      <c r="O25" s="400"/>
      <c r="P25" s="398"/>
      <c r="Q25" s="398"/>
      <c r="R25" s="291" t="s">
        <v>700</v>
      </c>
    </row>
    <row r="26" spans="1:18" ht="238.5" customHeight="1">
      <c r="A26" s="390" t="b">
        <v>0</v>
      </c>
      <c r="B26" s="393" t="s">
        <v>89</v>
      </c>
      <c r="C26" s="396" t="s">
        <v>329</v>
      </c>
      <c r="D26" s="396" t="s">
        <v>411</v>
      </c>
      <c r="E26" s="396" t="s">
        <v>412</v>
      </c>
      <c r="F26" s="396" t="s">
        <v>413</v>
      </c>
      <c r="G26" s="396" t="s">
        <v>414</v>
      </c>
      <c r="H26" s="399" t="s">
        <v>396</v>
      </c>
      <c r="I26" s="396">
        <v>1</v>
      </c>
      <c r="J26" s="399" t="s">
        <v>396</v>
      </c>
      <c r="K26" s="396" t="s">
        <v>415</v>
      </c>
      <c r="L26" s="396" t="s">
        <v>349</v>
      </c>
      <c r="M26" s="396" t="s">
        <v>350</v>
      </c>
      <c r="N26" s="396" t="s">
        <v>416</v>
      </c>
      <c r="O26" s="282" t="s">
        <v>352</v>
      </c>
      <c r="P26" s="396" t="s">
        <v>418</v>
      </c>
      <c r="Q26" s="396" t="s">
        <v>419</v>
      </c>
      <c r="R26" s="283" t="s">
        <v>701</v>
      </c>
    </row>
    <row r="27" spans="1:18" ht="257" customHeight="1">
      <c r="A27" s="391"/>
      <c r="B27" s="394"/>
      <c r="C27" s="397"/>
      <c r="D27" s="397"/>
      <c r="E27" s="397"/>
      <c r="F27" s="397"/>
      <c r="G27" s="397"/>
      <c r="H27" s="408"/>
      <c r="I27" s="397"/>
      <c r="J27" s="408"/>
      <c r="K27" s="397"/>
      <c r="L27" s="397"/>
      <c r="M27" s="397"/>
      <c r="N27" s="397"/>
      <c r="O27" s="282" t="s">
        <v>702</v>
      </c>
      <c r="P27" s="397"/>
      <c r="Q27" s="397"/>
      <c r="R27" s="283" t="s">
        <v>703</v>
      </c>
    </row>
    <row r="28" spans="1:18" ht="408.5" customHeight="1">
      <c r="A28" s="392"/>
      <c r="B28" s="395"/>
      <c r="C28" s="398"/>
      <c r="D28" s="398"/>
      <c r="E28" s="398"/>
      <c r="F28" s="398"/>
      <c r="G28" s="398"/>
      <c r="H28" s="400"/>
      <c r="I28" s="398"/>
      <c r="J28" s="400"/>
      <c r="K28" s="398"/>
      <c r="L28" s="398"/>
      <c r="M28" s="398"/>
      <c r="N28" s="398"/>
      <c r="O28" s="282" t="s">
        <v>704</v>
      </c>
      <c r="P28" s="398"/>
      <c r="Q28" s="398"/>
      <c r="R28" s="283" t="s">
        <v>705</v>
      </c>
    </row>
    <row r="29" spans="1:18" ht="70" customHeight="1">
      <c r="A29" s="390" t="b">
        <v>1</v>
      </c>
      <c r="B29" s="393" t="s">
        <v>89</v>
      </c>
      <c r="C29" s="396" t="s">
        <v>329</v>
      </c>
      <c r="D29" s="396" t="s">
        <v>421</v>
      </c>
      <c r="E29" s="396" t="s">
        <v>422</v>
      </c>
      <c r="F29" s="396" t="s">
        <v>423</v>
      </c>
      <c r="G29" s="396" t="s">
        <v>424</v>
      </c>
      <c r="H29" s="399" t="s">
        <v>396</v>
      </c>
      <c r="I29" s="396" t="s">
        <v>425</v>
      </c>
      <c r="J29" s="292" t="s">
        <v>432</v>
      </c>
      <c r="K29" s="396" t="s">
        <v>415</v>
      </c>
      <c r="L29" s="396" t="s">
        <v>338</v>
      </c>
      <c r="M29" s="396" t="s">
        <v>376</v>
      </c>
      <c r="N29" s="396" t="s">
        <v>427</v>
      </c>
      <c r="O29" s="399" t="s">
        <v>341</v>
      </c>
      <c r="P29" s="396" t="s">
        <v>329</v>
      </c>
      <c r="Q29" s="396" t="s">
        <v>428</v>
      </c>
      <c r="R29" s="291" t="s">
        <v>706</v>
      </c>
    </row>
    <row r="30" spans="1:18" ht="100.5" customHeight="1">
      <c r="A30" s="391"/>
      <c r="B30" s="394"/>
      <c r="C30" s="397"/>
      <c r="D30" s="397"/>
      <c r="E30" s="397"/>
      <c r="F30" s="397"/>
      <c r="G30" s="397"/>
      <c r="H30" s="408"/>
      <c r="I30" s="397"/>
      <c r="J30" s="292" t="s">
        <v>707</v>
      </c>
      <c r="K30" s="397"/>
      <c r="L30" s="397"/>
      <c r="M30" s="397"/>
      <c r="N30" s="397"/>
      <c r="O30" s="408"/>
      <c r="P30" s="397"/>
      <c r="Q30" s="397"/>
      <c r="R30" s="291" t="s">
        <v>708</v>
      </c>
    </row>
    <row r="31" spans="1:18" ht="98">
      <c r="A31" s="391"/>
      <c r="B31" s="394"/>
      <c r="C31" s="397"/>
      <c r="D31" s="397"/>
      <c r="E31" s="397"/>
      <c r="F31" s="397"/>
      <c r="G31" s="397"/>
      <c r="H31" s="408"/>
      <c r="I31" s="397"/>
      <c r="J31" s="292" t="s">
        <v>709</v>
      </c>
      <c r="K31" s="397"/>
      <c r="L31" s="397"/>
      <c r="M31" s="397"/>
      <c r="N31" s="397"/>
      <c r="O31" s="408"/>
      <c r="P31" s="397"/>
      <c r="Q31" s="397"/>
      <c r="R31" s="421" t="s">
        <v>710</v>
      </c>
    </row>
    <row r="32" spans="1:18" ht="120.5" customHeight="1">
      <c r="A32" s="392"/>
      <c r="B32" s="395"/>
      <c r="C32" s="398"/>
      <c r="D32" s="398"/>
      <c r="E32" s="398"/>
      <c r="F32" s="398"/>
      <c r="G32" s="398"/>
      <c r="H32" s="400"/>
      <c r="I32" s="398"/>
      <c r="J32" s="292" t="s">
        <v>711</v>
      </c>
      <c r="K32" s="398"/>
      <c r="L32" s="398"/>
      <c r="M32" s="398"/>
      <c r="N32" s="398"/>
      <c r="O32" s="400"/>
      <c r="P32" s="398"/>
      <c r="Q32" s="398"/>
      <c r="R32" s="422"/>
    </row>
    <row r="33" spans="1:18" ht="87.5" customHeight="1">
      <c r="A33" s="390" t="b">
        <v>0</v>
      </c>
      <c r="B33" s="393" t="s">
        <v>89</v>
      </c>
      <c r="C33" s="396" t="s">
        <v>329</v>
      </c>
      <c r="D33" s="396" t="s">
        <v>421</v>
      </c>
      <c r="E33" s="396" t="s">
        <v>422</v>
      </c>
      <c r="F33" s="396" t="s">
        <v>430</v>
      </c>
      <c r="G33" s="396" t="s">
        <v>431</v>
      </c>
      <c r="H33" s="399" t="s">
        <v>396</v>
      </c>
      <c r="I33" s="396" t="s">
        <v>425</v>
      </c>
      <c r="J33" s="399" t="s">
        <v>432</v>
      </c>
      <c r="K33" s="396" t="s">
        <v>415</v>
      </c>
      <c r="L33" s="396" t="s">
        <v>338</v>
      </c>
      <c r="M33" s="396" t="s">
        <v>376</v>
      </c>
      <c r="N33" s="396" t="s">
        <v>433</v>
      </c>
      <c r="O33" s="399" t="s">
        <v>341</v>
      </c>
      <c r="P33" s="396" t="s">
        <v>434</v>
      </c>
      <c r="Q33" s="396" t="s">
        <v>435</v>
      </c>
      <c r="R33" s="283" t="s">
        <v>712</v>
      </c>
    </row>
    <row r="34" spans="1:18" ht="72" customHeight="1">
      <c r="A34" s="391"/>
      <c r="B34" s="394"/>
      <c r="C34" s="397"/>
      <c r="D34" s="397"/>
      <c r="E34" s="397"/>
      <c r="F34" s="397"/>
      <c r="G34" s="397"/>
      <c r="H34" s="408"/>
      <c r="I34" s="397"/>
      <c r="J34" s="408"/>
      <c r="K34" s="397"/>
      <c r="L34" s="397"/>
      <c r="M34" s="397"/>
      <c r="N34" s="397"/>
      <c r="O34" s="408"/>
      <c r="P34" s="397"/>
      <c r="Q34" s="397"/>
      <c r="R34" s="291" t="s">
        <v>708</v>
      </c>
    </row>
    <row r="35" spans="1:18" ht="81" customHeight="1">
      <c r="A35" s="392"/>
      <c r="B35" s="395"/>
      <c r="C35" s="398"/>
      <c r="D35" s="398"/>
      <c r="E35" s="398"/>
      <c r="F35" s="398"/>
      <c r="G35" s="398"/>
      <c r="H35" s="400"/>
      <c r="I35" s="398"/>
      <c r="J35" s="400"/>
      <c r="K35" s="398"/>
      <c r="L35" s="398"/>
      <c r="M35" s="398"/>
      <c r="N35" s="398"/>
      <c r="O35" s="400"/>
      <c r="P35" s="398"/>
      <c r="Q35" s="398"/>
      <c r="R35" s="291" t="s">
        <v>710</v>
      </c>
    </row>
    <row r="36" spans="1:18" ht="56" customHeight="1">
      <c r="A36" s="390" t="b">
        <v>0</v>
      </c>
      <c r="B36" s="393" t="s">
        <v>89</v>
      </c>
      <c r="C36" s="396" t="s">
        <v>329</v>
      </c>
      <c r="D36" s="396" t="s">
        <v>436</v>
      </c>
      <c r="E36" s="396" t="s">
        <v>437</v>
      </c>
      <c r="F36" s="396" t="s">
        <v>246</v>
      </c>
      <c r="G36" s="396" t="s">
        <v>438</v>
      </c>
      <c r="H36" s="399" t="s">
        <v>396</v>
      </c>
      <c r="I36" s="396" t="s">
        <v>439</v>
      </c>
      <c r="J36" s="399" t="s">
        <v>396</v>
      </c>
      <c r="K36" s="396" t="s">
        <v>337</v>
      </c>
      <c r="L36" s="396" t="s">
        <v>338</v>
      </c>
      <c r="M36" s="396" t="s">
        <v>376</v>
      </c>
      <c r="N36" s="396" t="s">
        <v>440</v>
      </c>
      <c r="O36" s="399" t="s">
        <v>441</v>
      </c>
      <c r="P36" s="396" t="s">
        <v>442</v>
      </c>
      <c r="Q36" s="396" t="s">
        <v>443</v>
      </c>
      <c r="R36" s="283" t="s">
        <v>713</v>
      </c>
    </row>
    <row r="37" spans="1:18" ht="46" customHeight="1">
      <c r="A37" s="391"/>
      <c r="B37" s="394"/>
      <c r="C37" s="397"/>
      <c r="D37" s="397"/>
      <c r="E37" s="397"/>
      <c r="F37" s="397"/>
      <c r="G37" s="397"/>
      <c r="H37" s="408"/>
      <c r="I37" s="397"/>
      <c r="J37" s="408"/>
      <c r="K37" s="397"/>
      <c r="L37" s="397"/>
      <c r="M37" s="397"/>
      <c r="N37" s="397"/>
      <c r="O37" s="408"/>
      <c r="P37" s="397"/>
      <c r="Q37" s="397"/>
      <c r="R37" s="283" t="s">
        <v>714</v>
      </c>
    </row>
    <row r="38" spans="1:18" ht="54.5" customHeight="1">
      <c r="A38" s="391"/>
      <c r="B38" s="394"/>
      <c r="C38" s="397"/>
      <c r="D38" s="397"/>
      <c r="E38" s="397"/>
      <c r="F38" s="397"/>
      <c r="G38" s="397"/>
      <c r="H38" s="408"/>
      <c r="I38" s="397"/>
      <c r="J38" s="408"/>
      <c r="K38" s="397"/>
      <c r="L38" s="397"/>
      <c r="M38" s="397"/>
      <c r="N38" s="397"/>
      <c r="O38" s="408"/>
      <c r="P38" s="397"/>
      <c r="Q38" s="397"/>
      <c r="R38" s="283" t="s">
        <v>715</v>
      </c>
    </row>
    <row r="39" spans="1:18" ht="44.5" customHeight="1">
      <c r="A39" s="392"/>
      <c r="B39" s="395"/>
      <c r="C39" s="398"/>
      <c r="D39" s="398"/>
      <c r="E39" s="398"/>
      <c r="F39" s="398"/>
      <c r="G39" s="398"/>
      <c r="H39" s="400"/>
      <c r="I39" s="398"/>
      <c r="J39" s="400"/>
      <c r="K39" s="398"/>
      <c r="L39" s="398"/>
      <c r="M39" s="398"/>
      <c r="N39" s="398"/>
      <c r="O39" s="400"/>
      <c r="P39" s="398"/>
      <c r="Q39" s="398"/>
      <c r="R39" s="283" t="s">
        <v>716</v>
      </c>
    </row>
    <row r="40" spans="1:18" ht="54.5" customHeight="1">
      <c r="A40" s="415" t="b">
        <v>0</v>
      </c>
      <c r="B40" s="418" t="s">
        <v>109</v>
      </c>
      <c r="C40" s="412" t="s">
        <v>329</v>
      </c>
      <c r="D40" s="412" t="s">
        <v>330</v>
      </c>
      <c r="E40" s="412" t="s">
        <v>445</v>
      </c>
      <c r="F40" s="412" t="s">
        <v>446</v>
      </c>
      <c r="G40" s="412" t="s">
        <v>447</v>
      </c>
      <c r="H40" s="401" t="s">
        <v>448</v>
      </c>
      <c r="I40" s="412" t="s">
        <v>335</v>
      </c>
      <c r="J40" s="401" t="s">
        <v>336</v>
      </c>
      <c r="K40" s="412" t="s">
        <v>337</v>
      </c>
      <c r="L40" s="412" t="s">
        <v>338</v>
      </c>
      <c r="M40" s="412" t="s">
        <v>376</v>
      </c>
      <c r="N40" s="412" t="s">
        <v>449</v>
      </c>
      <c r="O40" s="401" t="s">
        <v>448</v>
      </c>
      <c r="P40" s="412"/>
      <c r="Q40" s="412" t="s">
        <v>450</v>
      </c>
      <c r="R40" s="55" t="s">
        <v>717</v>
      </c>
    </row>
    <row r="41" spans="1:18" ht="43" customHeight="1">
      <c r="A41" s="416"/>
      <c r="B41" s="419"/>
      <c r="C41" s="413"/>
      <c r="D41" s="413"/>
      <c r="E41" s="413"/>
      <c r="F41" s="413"/>
      <c r="G41" s="413"/>
      <c r="H41" s="402"/>
      <c r="I41" s="413"/>
      <c r="J41" s="402"/>
      <c r="K41" s="413"/>
      <c r="L41" s="413"/>
      <c r="M41" s="413"/>
      <c r="N41" s="413"/>
      <c r="O41" s="402"/>
      <c r="P41" s="413"/>
      <c r="Q41" s="413"/>
      <c r="R41" s="289" t="s">
        <v>718</v>
      </c>
    </row>
    <row r="42" spans="1:18" ht="53.5" customHeight="1">
      <c r="A42" s="417"/>
      <c r="B42" s="420"/>
      <c r="C42" s="414"/>
      <c r="D42" s="414"/>
      <c r="E42" s="414"/>
      <c r="F42" s="414"/>
      <c r="G42" s="414"/>
      <c r="H42" s="403"/>
      <c r="I42" s="414"/>
      <c r="J42" s="403"/>
      <c r="K42" s="414"/>
      <c r="L42" s="414"/>
      <c r="M42" s="414"/>
      <c r="N42" s="414"/>
      <c r="O42" s="403"/>
      <c r="P42" s="414"/>
      <c r="Q42" s="414"/>
      <c r="R42" s="289" t="s">
        <v>719</v>
      </c>
    </row>
    <row r="43" spans="1:18" ht="137.5" customHeight="1">
      <c r="A43" s="415" t="b">
        <v>0</v>
      </c>
      <c r="B43" s="418" t="s">
        <v>109</v>
      </c>
      <c r="C43" s="412" t="s">
        <v>329</v>
      </c>
      <c r="D43" s="412" t="s">
        <v>330</v>
      </c>
      <c r="E43" s="412" t="s">
        <v>452</v>
      </c>
      <c r="F43" s="412" t="s">
        <v>453</v>
      </c>
      <c r="G43" s="412" t="s">
        <v>454</v>
      </c>
      <c r="H43" s="401" t="s">
        <v>396</v>
      </c>
      <c r="I43" s="412" t="s">
        <v>335</v>
      </c>
      <c r="J43" s="401" t="s">
        <v>396</v>
      </c>
      <c r="K43" s="412" t="s">
        <v>337</v>
      </c>
      <c r="L43" s="412" t="s">
        <v>338</v>
      </c>
      <c r="M43" s="412" t="s">
        <v>376</v>
      </c>
      <c r="N43" s="412" t="s">
        <v>455</v>
      </c>
      <c r="O43" s="412" t="s">
        <v>456</v>
      </c>
      <c r="P43" s="412" t="s">
        <v>329</v>
      </c>
      <c r="Q43" s="412" t="s">
        <v>457</v>
      </c>
      <c r="R43" s="55" t="s">
        <v>720</v>
      </c>
    </row>
    <row r="44" spans="1:18" ht="125.5" customHeight="1">
      <c r="A44" s="417"/>
      <c r="B44" s="420"/>
      <c r="C44" s="414"/>
      <c r="D44" s="414"/>
      <c r="E44" s="414"/>
      <c r="F44" s="414"/>
      <c r="G44" s="414"/>
      <c r="H44" s="403"/>
      <c r="I44" s="414"/>
      <c r="J44" s="403"/>
      <c r="K44" s="414"/>
      <c r="L44" s="414"/>
      <c r="M44" s="414"/>
      <c r="N44" s="414"/>
      <c r="O44" s="414"/>
      <c r="P44" s="414"/>
      <c r="Q44" s="414"/>
      <c r="R44" s="289" t="s">
        <v>721</v>
      </c>
    </row>
    <row r="45" spans="1:18" ht="192" customHeight="1">
      <c r="A45" s="415" t="b">
        <v>0</v>
      </c>
      <c r="B45" s="418" t="s">
        <v>109</v>
      </c>
      <c r="C45" s="412" t="s">
        <v>329</v>
      </c>
      <c r="D45" s="412" t="s">
        <v>411</v>
      </c>
      <c r="E45" s="412" t="s">
        <v>459</v>
      </c>
      <c r="F45" s="412" t="s">
        <v>460</v>
      </c>
      <c r="G45" s="412" t="s">
        <v>461</v>
      </c>
      <c r="H45" s="401" t="s">
        <v>396</v>
      </c>
      <c r="I45" s="412">
        <v>1</v>
      </c>
      <c r="J45" s="401" t="s">
        <v>396</v>
      </c>
      <c r="K45" s="412" t="s">
        <v>337</v>
      </c>
      <c r="L45" s="412" t="s">
        <v>338</v>
      </c>
      <c r="M45" s="412" t="s">
        <v>376</v>
      </c>
      <c r="N45" s="412" t="s">
        <v>462</v>
      </c>
      <c r="O45" s="412" t="s">
        <v>456</v>
      </c>
      <c r="P45" s="412" t="s">
        <v>329</v>
      </c>
      <c r="Q45" s="412" t="s">
        <v>463</v>
      </c>
      <c r="R45" s="55" t="s">
        <v>722</v>
      </c>
    </row>
    <row r="46" spans="1:18" ht="303.5" customHeight="1">
      <c r="A46" s="417"/>
      <c r="B46" s="420"/>
      <c r="C46" s="414"/>
      <c r="D46" s="414"/>
      <c r="E46" s="414"/>
      <c r="F46" s="414"/>
      <c r="G46" s="414"/>
      <c r="H46" s="403"/>
      <c r="I46" s="414"/>
      <c r="J46" s="403"/>
      <c r="K46" s="414"/>
      <c r="L46" s="414"/>
      <c r="M46" s="414"/>
      <c r="N46" s="414"/>
      <c r="O46" s="414"/>
      <c r="P46" s="414"/>
      <c r="Q46" s="414"/>
      <c r="R46" s="289" t="s">
        <v>723</v>
      </c>
    </row>
    <row r="47" spans="1:18" ht="130" customHeight="1">
      <c r="A47" s="415" t="b">
        <v>0</v>
      </c>
      <c r="B47" s="418" t="s">
        <v>109</v>
      </c>
      <c r="C47" s="412" t="s">
        <v>329</v>
      </c>
      <c r="D47" s="412" t="s">
        <v>421</v>
      </c>
      <c r="E47" s="412" t="s">
        <v>465</v>
      </c>
      <c r="F47" s="412" t="s">
        <v>466</v>
      </c>
      <c r="G47" s="412" t="s">
        <v>467</v>
      </c>
      <c r="H47" s="401" t="s">
        <v>396</v>
      </c>
      <c r="I47" s="412" t="s">
        <v>254</v>
      </c>
      <c r="J47" s="401" t="s">
        <v>396</v>
      </c>
      <c r="K47" s="412" t="s">
        <v>337</v>
      </c>
      <c r="L47" s="412" t="s">
        <v>338</v>
      </c>
      <c r="M47" s="412" t="s">
        <v>376</v>
      </c>
      <c r="N47" s="412" t="s">
        <v>468</v>
      </c>
      <c r="O47" s="286" t="s">
        <v>441</v>
      </c>
      <c r="P47" s="412" t="s">
        <v>470</v>
      </c>
      <c r="Q47" s="412" t="s">
        <v>471</v>
      </c>
      <c r="R47" s="55" t="s">
        <v>724</v>
      </c>
    </row>
    <row r="48" spans="1:18" ht="147.5" customHeight="1">
      <c r="A48" s="416"/>
      <c r="B48" s="419"/>
      <c r="C48" s="413"/>
      <c r="D48" s="413"/>
      <c r="E48" s="413"/>
      <c r="F48" s="413"/>
      <c r="G48" s="413"/>
      <c r="H48" s="402"/>
      <c r="I48" s="413"/>
      <c r="J48" s="402"/>
      <c r="K48" s="413"/>
      <c r="L48" s="413"/>
      <c r="M48" s="413"/>
      <c r="N48" s="413"/>
      <c r="O48" s="287" t="s">
        <v>725</v>
      </c>
      <c r="P48" s="413"/>
      <c r="Q48" s="413"/>
      <c r="R48" s="55" t="s">
        <v>726</v>
      </c>
    </row>
    <row r="49" spans="1:18" ht="163" customHeight="1">
      <c r="A49" s="417"/>
      <c r="B49" s="420"/>
      <c r="C49" s="414"/>
      <c r="D49" s="414"/>
      <c r="E49" s="414"/>
      <c r="F49" s="414"/>
      <c r="G49" s="414"/>
      <c r="H49" s="403"/>
      <c r="I49" s="414"/>
      <c r="J49" s="403"/>
      <c r="K49" s="414"/>
      <c r="L49" s="414"/>
      <c r="M49" s="414"/>
      <c r="N49" s="414"/>
      <c r="O49" s="286" t="s">
        <v>352</v>
      </c>
      <c r="P49" s="414"/>
      <c r="Q49" s="414"/>
      <c r="R49" s="289" t="s">
        <v>727</v>
      </c>
    </row>
    <row r="50" spans="1:18" ht="74" customHeight="1">
      <c r="A50" s="390" t="b">
        <v>0</v>
      </c>
      <c r="B50" s="393" t="s">
        <v>83</v>
      </c>
      <c r="C50" s="396" t="s">
        <v>329</v>
      </c>
      <c r="D50" s="396" t="s">
        <v>473</v>
      </c>
      <c r="E50" s="396" t="s">
        <v>474</v>
      </c>
      <c r="F50" s="396" t="s">
        <v>475</v>
      </c>
      <c r="G50" s="396" t="s">
        <v>467</v>
      </c>
      <c r="H50" s="399" t="s">
        <v>396</v>
      </c>
      <c r="I50" s="396" t="s">
        <v>254</v>
      </c>
      <c r="J50" s="399" t="s">
        <v>396</v>
      </c>
      <c r="K50" s="396" t="s">
        <v>337</v>
      </c>
      <c r="L50" s="396" t="s">
        <v>338</v>
      </c>
      <c r="M50" s="396" t="s">
        <v>376</v>
      </c>
      <c r="N50" s="396" t="s">
        <v>476</v>
      </c>
      <c r="O50" s="399" t="s">
        <v>477</v>
      </c>
      <c r="P50" s="396" t="s">
        <v>329</v>
      </c>
      <c r="Q50" s="396" t="s">
        <v>728</v>
      </c>
      <c r="R50" s="283" t="s">
        <v>729</v>
      </c>
    </row>
    <row r="51" spans="1:18" ht="73" customHeight="1">
      <c r="A51" s="391"/>
      <c r="B51" s="394"/>
      <c r="C51" s="397"/>
      <c r="D51" s="397"/>
      <c r="E51" s="397"/>
      <c r="F51" s="397"/>
      <c r="G51" s="397"/>
      <c r="H51" s="408"/>
      <c r="I51" s="397"/>
      <c r="J51" s="408"/>
      <c r="K51" s="397"/>
      <c r="L51" s="397"/>
      <c r="M51" s="397"/>
      <c r="N51" s="397"/>
      <c r="O51" s="408"/>
      <c r="P51" s="397"/>
      <c r="Q51" s="397"/>
      <c r="R51" s="283" t="s">
        <v>730</v>
      </c>
    </row>
    <row r="52" spans="1:18" ht="57" customHeight="1">
      <c r="A52" s="391"/>
      <c r="B52" s="394"/>
      <c r="C52" s="397"/>
      <c r="D52" s="397"/>
      <c r="E52" s="397"/>
      <c r="F52" s="397"/>
      <c r="G52" s="397"/>
      <c r="H52" s="408"/>
      <c r="I52" s="397"/>
      <c r="J52" s="408"/>
      <c r="K52" s="397"/>
      <c r="L52" s="397"/>
      <c r="M52" s="397"/>
      <c r="N52" s="397"/>
      <c r="O52" s="408"/>
      <c r="P52" s="397"/>
      <c r="Q52" s="397"/>
      <c r="R52" s="291" t="s">
        <v>731</v>
      </c>
    </row>
    <row r="53" spans="1:18" ht="62.5" customHeight="1">
      <c r="A53" s="392"/>
      <c r="B53" s="395"/>
      <c r="C53" s="398"/>
      <c r="D53" s="398"/>
      <c r="E53" s="398"/>
      <c r="F53" s="398"/>
      <c r="G53" s="398"/>
      <c r="H53" s="400"/>
      <c r="I53" s="398"/>
      <c r="J53" s="400"/>
      <c r="K53" s="398"/>
      <c r="L53" s="398"/>
      <c r="M53" s="398"/>
      <c r="N53" s="398"/>
      <c r="O53" s="400"/>
      <c r="P53" s="398"/>
      <c r="Q53" s="398"/>
      <c r="R53" s="291" t="s">
        <v>732</v>
      </c>
    </row>
    <row r="54" spans="1:18" ht="309.5" customHeight="1">
      <c r="A54" s="56" t="b">
        <v>0</v>
      </c>
      <c r="B54" s="102" t="s">
        <v>83</v>
      </c>
      <c r="C54" s="57" t="s">
        <v>329</v>
      </c>
      <c r="D54" s="57" t="s">
        <v>473</v>
      </c>
      <c r="E54" s="57" t="s">
        <v>480</v>
      </c>
      <c r="F54" s="57" t="s">
        <v>481</v>
      </c>
      <c r="G54" s="57" t="s">
        <v>467</v>
      </c>
      <c r="H54" s="245" t="s">
        <v>396</v>
      </c>
      <c r="I54" s="57" t="s">
        <v>254</v>
      </c>
      <c r="J54" s="245" t="s">
        <v>396</v>
      </c>
      <c r="K54" s="57" t="s">
        <v>337</v>
      </c>
      <c r="L54" s="57" t="s">
        <v>338</v>
      </c>
      <c r="M54" s="57" t="s">
        <v>376</v>
      </c>
      <c r="N54" s="57" t="s">
        <v>482</v>
      </c>
      <c r="O54" s="245" t="s">
        <v>483</v>
      </c>
      <c r="P54" s="57" t="s">
        <v>329</v>
      </c>
      <c r="Q54" s="57" t="s">
        <v>484</v>
      </c>
      <c r="R54" s="283" t="s">
        <v>485</v>
      </c>
    </row>
    <row r="55" spans="1:18" ht="97.5" customHeight="1">
      <c r="A55" s="390" t="b">
        <v>0</v>
      </c>
      <c r="B55" s="393" t="s">
        <v>83</v>
      </c>
      <c r="C55" s="396" t="s">
        <v>329</v>
      </c>
      <c r="D55" s="396" t="s">
        <v>473</v>
      </c>
      <c r="E55" s="396" t="s">
        <v>486</v>
      </c>
      <c r="F55" s="396" t="s">
        <v>487</v>
      </c>
      <c r="G55" s="396" t="s">
        <v>467</v>
      </c>
      <c r="H55" s="399" t="s">
        <v>396</v>
      </c>
      <c r="I55" s="396" t="s">
        <v>254</v>
      </c>
      <c r="J55" s="399" t="s">
        <v>396</v>
      </c>
      <c r="K55" s="396" t="s">
        <v>337</v>
      </c>
      <c r="L55" s="396" t="s">
        <v>338</v>
      </c>
      <c r="M55" s="396" t="s">
        <v>376</v>
      </c>
      <c r="N55" s="396" t="s">
        <v>488</v>
      </c>
      <c r="O55" s="294" t="s">
        <v>733</v>
      </c>
      <c r="P55" s="396" t="s">
        <v>329</v>
      </c>
      <c r="Q55" s="406" t="s">
        <v>490</v>
      </c>
      <c r="R55" s="283" t="s">
        <v>734</v>
      </c>
    </row>
    <row r="56" spans="1:18" ht="89.5" customHeight="1">
      <c r="A56" s="391"/>
      <c r="B56" s="394"/>
      <c r="C56" s="397"/>
      <c r="D56" s="397"/>
      <c r="E56" s="397"/>
      <c r="F56" s="397"/>
      <c r="G56" s="397"/>
      <c r="H56" s="408"/>
      <c r="I56" s="397"/>
      <c r="J56" s="408"/>
      <c r="K56" s="397"/>
      <c r="L56" s="397"/>
      <c r="M56" s="397"/>
      <c r="N56" s="397"/>
      <c r="O56" s="410" t="s">
        <v>735</v>
      </c>
      <c r="P56" s="397"/>
      <c r="Q56" s="409"/>
      <c r="R56" s="291" t="s">
        <v>736</v>
      </c>
    </row>
    <row r="57" spans="1:18" ht="93.5" customHeight="1">
      <c r="A57" s="392"/>
      <c r="B57" s="395"/>
      <c r="C57" s="398"/>
      <c r="D57" s="398"/>
      <c r="E57" s="398"/>
      <c r="F57" s="398"/>
      <c r="G57" s="398"/>
      <c r="H57" s="400"/>
      <c r="I57" s="398"/>
      <c r="J57" s="400"/>
      <c r="K57" s="398"/>
      <c r="L57" s="398"/>
      <c r="M57" s="398"/>
      <c r="N57" s="398"/>
      <c r="O57" s="411"/>
      <c r="P57" s="398"/>
      <c r="Q57" s="407"/>
      <c r="R57" s="291" t="s">
        <v>737</v>
      </c>
    </row>
    <row r="58" spans="1:18" ht="94" customHeight="1">
      <c r="A58" s="390" t="b">
        <v>0</v>
      </c>
      <c r="B58" s="393" t="s">
        <v>83</v>
      </c>
      <c r="C58" s="396" t="s">
        <v>329</v>
      </c>
      <c r="D58" s="396" t="s">
        <v>330</v>
      </c>
      <c r="E58" s="396" t="s">
        <v>492</v>
      </c>
      <c r="F58" s="396" t="s">
        <v>267</v>
      </c>
      <c r="G58" s="396" t="s">
        <v>438</v>
      </c>
      <c r="H58" s="399" t="s">
        <v>396</v>
      </c>
      <c r="I58" s="396" t="s">
        <v>439</v>
      </c>
      <c r="J58" s="399" t="s">
        <v>396</v>
      </c>
      <c r="K58" s="396" t="s">
        <v>337</v>
      </c>
      <c r="L58" s="396" t="s">
        <v>338</v>
      </c>
      <c r="M58" s="396" t="s">
        <v>376</v>
      </c>
      <c r="N58" s="396" t="s">
        <v>493</v>
      </c>
      <c r="O58" s="399" t="s">
        <v>494</v>
      </c>
      <c r="P58" s="396" t="s">
        <v>329</v>
      </c>
      <c r="Q58" s="396" t="s">
        <v>495</v>
      </c>
      <c r="R58" s="283" t="s">
        <v>738</v>
      </c>
    </row>
    <row r="59" spans="1:18" ht="106.5" customHeight="1">
      <c r="A59" s="392"/>
      <c r="B59" s="395"/>
      <c r="C59" s="398"/>
      <c r="D59" s="398"/>
      <c r="E59" s="398"/>
      <c r="F59" s="398"/>
      <c r="G59" s="398"/>
      <c r="H59" s="400"/>
      <c r="I59" s="398"/>
      <c r="J59" s="400"/>
      <c r="K59" s="398"/>
      <c r="L59" s="398"/>
      <c r="M59" s="398"/>
      <c r="N59" s="398"/>
      <c r="O59" s="400"/>
      <c r="P59" s="398"/>
      <c r="Q59" s="398"/>
      <c r="R59" s="291" t="s">
        <v>739</v>
      </c>
    </row>
    <row r="60" spans="1:18" ht="90.5" customHeight="1">
      <c r="A60" s="390" t="b">
        <v>0</v>
      </c>
      <c r="B60" s="393" t="s">
        <v>83</v>
      </c>
      <c r="C60" s="396" t="s">
        <v>329</v>
      </c>
      <c r="D60" s="396" t="s">
        <v>330</v>
      </c>
      <c r="E60" s="396" t="s">
        <v>497</v>
      </c>
      <c r="F60" s="396" t="s">
        <v>498</v>
      </c>
      <c r="G60" s="396" t="s">
        <v>467</v>
      </c>
      <c r="H60" s="399" t="s">
        <v>396</v>
      </c>
      <c r="I60" s="396" t="s">
        <v>254</v>
      </c>
      <c r="J60" s="399" t="s">
        <v>396</v>
      </c>
      <c r="K60" s="396" t="s">
        <v>337</v>
      </c>
      <c r="L60" s="396" t="s">
        <v>338</v>
      </c>
      <c r="M60" s="396" t="s">
        <v>376</v>
      </c>
      <c r="N60" s="396" t="s">
        <v>499</v>
      </c>
      <c r="O60" s="399" t="s">
        <v>500</v>
      </c>
      <c r="P60" s="396" t="s">
        <v>329</v>
      </c>
      <c r="Q60" s="406" t="s">
        <v>501</v>
      </c>
      <c r="R60" s="283" t="s">
        <v>734</v>
      </c>
    </row>
    <row r="61" spans="1:18" ht="82.5" customHeight="1">
      <c r="A61" s="391"/>
      <c r="B61" s="394"/>
      <c r="C61" s="397"/>
      <c r="D61" s="397"/>
      <c r="E61" s="397"/>
      <c r="F61" s="397"/>
      <c r="G61" s="397"/>
      <c r="H61" s="408"/>
      <c r="I61" s="397"/>
      <c r="J61" s="408"/>
      <c r="K61" s="397"/>
      <c r="L61" s="397"/>
      <c r="M61" s="397"/>
      <c r="N61" s="397"/>
      <c r="O61" s="408"/>
      <c r="P61" s="397"/>
      <c r="Q61" s="409"/>
      <c r="R61" s="291" t="s">
        <v>736</v>
      </c>
    </row>
    <row r="62" spans="1:18" ht="97.5" customHeight="1">
      <c r="A62" s="392"/>
      <c r="B62" s="395"/>
      <c r="C62" s="398"/>
      <c r="D62" s="398"/>
      <c r="E62" s="398"/>
      <c r="F62" s="398"/>
      <c r="G62" s="398"/>
      <c r="H62" s="400"/>
      <c r="I62" s="398"/>
      <c r="J62" s="400"/>
      <c r="K62" s="398"/>
      <c r="L62" s="398"/>
      <c r="M62" s="398"/>
      <c r="N62" s="398"/>
      <c r="O62" s="400"/>
      <c r="P62" s="398"/>
      <c r="Q62" s="407"/>
      <c r="R62" s="291" t="s">
        <v>737</v>
      </c>
    </row>
    <row r="63" spans="1:18" ht="70.5" customHeight="1">
      <c r="A63" s="390" t="b">
        <v>0</v>
      </c>
      <c r="B63" s="393" t="s">
        <v>83</v>
      </c>
      <c r="C63" s="396" t="s">
        <v>329</v>
      </c>
      <c r="D63" s="396" t="s">
        <v>421</v>
      </c>
      <c r="E63" s="396" t="s">
        <v>502</v>
      </c>
      <c r="F63" s="396" t="s">
        <v>503</v>
      </c>
      <c r="G63" s="396" t="s">
        <v>438</v>
      </c>
      <c r="H63" s="399" t="s">
        <v>396</v>
      </c>
      <c r="I63" s="396" t="s">
        <v>439</v>
      </c>
      <c r="J63" s="399" t="s">
        <v>396</v>
      </c>
      <c r="K63" s="396" t="s">
        <v>337</v>
      </c>
      <c r="L63" s="396" t="s">
        <v>338</v>
      </c>
      <c r="M63" s="396" t="s">
        <v>376</v>
      </c>
      <c r="N63" s="396" t="s">
        <v>504</v>
      </c>
      <c r="O63" s="399" t="s">
        <v>505</v>
      </c>
      <c r="P63" s="396" t="s">
        <v>329</v>
      </c>
      <c r="Q63" s="396" t="s">
        <v>506</v>
      </c>
      <c r="R63" s="291" t="s">
        <v>740</v>
      </c>
    </row>
    <row r="64" spans="1:18" ht="75.5" customHeight="1">
      <c r="A64" s="391"/>
      <c r="B64" s="394"/>
      <c r="C64" s="397"/>
      <c r="D64" s="397"/>
      <c r="E64" s="397"/>
      <c r="F64" s="397"/>
      <c r="G64" s="397"/>
      <c r="H64" s="408"/>
      <c r="I64" s="397"/>
      <c r="J64" s="408"/>
      <c r="K64" s="397"/>
      <c r="L64" s="397"/>
      <c r="M64" s="397"/>
      <c r="N64" s="397"/>
      <c r="O64" s="408"/>
      <c r="P64" s="397"/>
      <c r="Q64" s="397"/>
      <c r="R64" s="291" t="s">
        <v>741</v>
      </c>
    </row>
    <row r="65" spans="1:18" ht="93" customHeight="1">
      <c r="A65" s="392"/>
      <c r="B65" s="395"/>
      <c r="C65" s="398"/>
      <c r="D65" s="398"/>
      <c r="E65" s="398"/>
      <c r="F65" s="398"/>
      <c r="G65" s="398"/>
      <c r="H65" s="400"/>
      <c r="I65" s="398"/>
      <c r="J65" s="400"/>
      <c r="K65" s="398"/>
      <c r="L65" s="398"/>
      <c r="M65" s="398"/>
      <c r="N65" s="398"/>
      <c r="O65" s="400"/>
      <c r="P65" s="398"/>
      <c r="Q65" s="398"/>
      <c r="R65" s="291" t="s">
        <v>742</v>
      </c>
    </row>
    <row r="66" spans="1:18" ht="234">
      <c r="A66" s="56" t="b">
        <v>0</v>
      </c>
      <c r="B66" s="102" t="s">
        <v>83</v>
      </c>
      <c r="C66" s="57" t="s">
        <v>329</v>
      </c>
      <c r="D66" s="57" t="s">
        <v>402</v>
      </c>
      <c r="E66" s="57" t="s">
        <v>508</v>
      </c>
      <c r="F66" s="57" t="s">
        <v>509</v>
      </c>
      <c r="G66" s="57" t="s">
        <v>438</v>
      </c>
      <c r="H66" s="245" t="s">
        <v>396</v>
      </c>
      <c r="I66" s="57" t="s">
        <v>439</v>
      </c>
      <c r="J66" s="245" t="s">
        <v>396</v>
      </c>
      <c r="K66" s="57" t="s">
        <v>337</v>
      </c>
      <c r="L66" s="57" t="s">
        <v>338</v>
      </c>
      <c r="M66" s="57" t="s">
        <v>376</v>
      </c>
      <c r="N66" s="57" t="s">
        <v>510</v>
      </c>
      <c r="O66" s="245" t="s">
        <v>511</v>
      </c>
      <c r="P66" s="57" t="s">
        <v>329</v>
      </c>
      <c r="Q66" s="57" t="s">
        <v>512</v>
      </c>
      <c r="R66" s="283" t="s">
        <v>513</v>
      </c>
    </row>
    <row r="67" spans="1:18" ht="92" customHeight="1">
      <c r="A67" s="390" t="b">
        <v>0</v>
      </c>
      <c r="B67" s="393" t="s">
        <v>83</v>
      </c>
      <c r="C67" s="396" t="s">
        <v>329</v>
      </c>
      <c r="D67" s="396" t="s">
        <v>330</v>
      </c>
      <c r="E67" s="396" t="s">
        <v>514</v>
      </c>
      <c r="F67" s="396" t="s">
        <v>271</v>
      </c>
      <c r="G67" s="396" t="s">
        <v>438</v>
      </c>
      <c r="H67" s="399" t="s">
        <v>396</v>
      </c>
      <c r="I67" s="396" t="s">
        <v>439</v>
      </c>
      <c r="J67" s="399" t="s">
        <v>396</v>
      </c>
      <c r="K67" s="396" t="s">
        <v>337</v>
      </c>
      <c r="L67" s="396" t="s">
        <v>349</v>
      </c>
      <c r="M67" s="396" t="s">
        <v>376</v>
      </c>
      <c r="N67" s="396" t="s">
        <v>515</v>
      </c>
      <c r="O67" s="399" t="s">
        <v>375</v>
      </c>
      <c r="P67" s="396" t="s">
        <v>329</v>
      </c>
      <c r="Q67" s="396" t="s">
        <v>516</v>
      </c>
      <c r="R67" s="283" t="s">
        <v>743</v>
      </c>
    </row>
    <row r="68" spans="1:18" ht="71" customHeight="1">
      <c r="A68" s="391"/>
      <c r="B68" s="394"/>
      <c r="C68" s="397"/>
      <c r="D68" s="397"/>
      <c r="E68" s="397"/>
      <c r="F68" s="397"/>
      <c r="G68" s="397"/>
      <c r="H68" s="408"/>
      <c r="I68" s="397"/>
      <c r="J68" s="408"/>
      <c r="K68" s="397"/>
      <c r="L68" s="397"/>
      <c r="M68" s="397"/>
      <c r="N68" s="397"/>
      <c r="O68" s="408"/>
      <c r="P68" s="397"/>
      <c r="Q68" s="397"/>
      <c r="R68" s="291" t="s">
        <v>744</v>
      </c>
    </row>
    <row r="69" spans="1:18" ht="65" customHeight="1">
      <c r="A69" s="392"/>
      <c r="B69" s="395"/>
      <c r="C69" s="398"/>
      <c r="D69" s="398"/>
      <c r="E69" s="398"/>
      <c r="F69" s="398"/>
      <c r="G69" s="398"/>
      <c r="H69" s="400"/>
      <c r="I69" s="398"/>
      <c r="J69" s="400"/>
      <c r="K69" s="398"/>
      <c r="L69" s="398"/>
      <c r="M69" s="398"/>
      <c r="N69" s="398"/>
      <c r="O69" s="400"/>
      <c r="P69" s="398"/>
      <c r="Q69" s="398"/>
      <c r="R69" s="291" t="s">
        <v>745</v>
      </c>
    </row>
    <row r="70" spans="1:18" ht="130.5" customHeight="1">
      <c r="A70" s="67" t="b">
        <v>0</v>
      </c>
      <c r="B70" s="68" t="s">
        <v>77</v>
      </c>
      <c r="C70" s="49" t="s">
        <v>518</v>
      </c>
      <c r="D70" s="49" t="s">
        <v>519</v>
      </c>
      <c r="E70" s="49" t="s">
        <v>520</v>
      </c>
      <c r="F70" s="298" t="s">
        <v>521</v>
      </c>
      <c r="G70" s="298" t="s">
        <v>522</v>
      </c>
      <c r="H70" s="299" t="s">
        <v>523</v>
      </c>
      <c r="I70" s="298" t="s">
        <v>406</v>
      </c>
      <c r="J70" s="299" t="s">
        <v>523</v>
      </c>
      <c r="K70" s="49" t="s">
        <v>337</v>
      </c>
      <c r="L70" s="49" t="s">
        <v>388</v>
      </c>
      <c r="M70" s="298" t="s">
        <v>524</v>
      </c>
      <c r="N70" s="49" t="s">
        <v>525</v>
      </c>
      <c r="O70" s="299" t="s">
        <v>526</v>
      </c>
      <c r="P70" s="298" t="s">
        <v>527</v>
      </c>
      <c r="Q70" s="298" t="s">
        <v>528</v>
      </c>
      <c r="R70" s="300" t="s">
        <v>529</v>
      </c>
    </row>
    <row r="71" spans="1:18" ht="128.5" customHeight="1">
      <c r="A71" s="54" t="b">
        <v>0</v>
      </c>
      <c r="B71" s="68" t="s">
        <v>77</v>
      </c>
      <c r="C71" s="49" t="s">
        <v>518</v>
      </c>
      <c r="D71" s="49" t="s">
        <v>519</v>
      </c>
      <c r="E71" s="49" t="s">
        <v>520</v>
      </c>
      <c r="F71" s="69" t="s">
        <v>530</v>
      </c>
      <c r="G71" s="298" t="s">
        <v>531</v>
      </c>
      <c r="H71" s="299" t="s">
        <v>523</v>
      </c>
      <c r="I71" s="298" t="s">
        <v>406</v>
      </c>
      <c r="J71" s="299" t="s">
        <v>523</v>
      </c>
      <c r="K71" s="49" t="s">
        <v>337</v>
      </c>
      <c r="L71" s="49" t="s">
        <v>388</v>
      </c>
      <c r="M71" s="298" t="s">
        <v>524</v>
      </c>
      <c r="N71" s="49" t="s">
        <v>532</v>
      </c>
      <c r="O71" s="299" t="s">
        <v>533</v>
      </c>
      <c r="P71" s="298" t="s">
        <v>534</v>
      </c>
      <c r="Q71" s="298" t="s">
        <v>535</v>
      </c>
      <c r="R71" s="300" t="s">
        <v>529</v>
      </c>
    </row>
    <row r="72" spans="1:18" s="75" customFormat="1" ht="130">
      <c r="A72" s="74" t="b">
        <v>0</v>
      </c>
      <c r="B72" s="102" t="s">
        <v>89</v>
      </c>
      <c r="C72" s="57" t="s">
        <v>518</v>
      </c>
      <c r="D72" s="57" t="s">
        <v>519</v>
      </c>
      <c r="E72" s="57" t="s">
        <v>536</v>
      </c>
      <c r="F72" s="301" t="s">
        <v>309</v>
      </c>
      <c r="G72" s="57" t="s">
        <v>438</v>
      </c>
      <c r="H72" s="282" t="s">
        <v>523</v>
      </c>
      <c r="I72" s="57" t="s">
        <v>439</v>
      </c>
      <c r="J72" s="282" t="s">
        <v>523</v>
      </c>
      <c r="K72" s="57" t="s">
        <v>337</v>
      </c>
      <c r="L72" s="57" t="s">
        <v>338</v>
      </c>
      <c r="M72" s="57" t="s">
        <v>537</v>
      </c>
      <c r="N72" s="57" t="s">
        <v>538</v>
      </c>
      <c r="O72" s="282" t="s">
        <v>539</v>
      </c>
      <c r="P72" s="57" t="s">
        <v>527</v>
      </c>
      <c r="Q72" s="57" t="s">
        <v>540</v>
      </c>
      <c r="R72" s="302" t="s">
        <v>541</v>
      </c>
    </row>
    <row r="73" spans="1:18" s="75" customFormat="1" ht="130">
      <c r="A73" s="74" t="b">
        <v>0</v>
      </c>
      <c r="B73" s="102" t="s">
        <v>89</v>
      </c>
      <c r="C73" s="57" t="s">
        <v>518</v>
      </c>
      <c r="D73" s="57" t="s">
        <v>542</v>
      </c>
      <c r="E73" s="57" t="s">
        <v>543</v>
      </c>
      <c r="F73" s="301" t="s">
        <v>544</v>
      </c>
      <c r="G73" s="57" t="s">
        <v>545</v>
      </c>
      <c r="H73" s="282" t="s">
        <v>546</v>
      </c>
      <c r="I73" s="57" t="s">
        <v>547</v>
      </c>
      <c r="J73" s="282" t="s">
        <v>546</v>
      </c>
      <c r="K73" s="57" t="s">
        <v>337</v>
      </c>
      <c r="L73" s="57" t="s">
        <v>338</v>
      </c>
      <c r="M73" s="57" t="s">
        <v>548</v>
      </c>
      <c r="N73" s="57" t="s">
        <v>549</v>
      </c>
      <c r="O73" s="282" t="s">
        <v>546</v>
      </c>
      <c r="P73" s="57" t="s">
        <v>534</v>
      </c>
      <c r="Q73" s="57" t="s">
        <v>550</v>
      </c>
      <c r="R73" s="302" t="s">
        <v>551</v>
      </c>
    </row>
    <row r="74" spans="1:18" s="75" customFormat="1" ht="182">
      <c r="A74" s="74" t="b">
        <v>0</v>
      </c>
      <c r="B74" s="102" t="s">
        <v>89</v>
      </c>
      <c r="C74" s="57" t="s">
        <v>518</v>
      </c>
      <c r="D74" s="57" t="s">
        <v>542</v>
      </c>
      <c r="E74" s="57" t="s">
        <v>552</v>
      </c>
      <c r="F74" s="301" t="s">
        <v>553</v>
      </c>
      <c r="G74" s="57" t="s">
        <v>554</v>
      </c>
      <c r="H74" s="282" t="s">
        <v>546</v>
      </c>
      <c r="I74" s="57" t="s">
        <v>547</v>
      </c>
      <c r="J74" s="282" t="s">
        <v>546</v>
      </c>
      <c r="K74" s="57" t="s">
        <v>337</v>
      </c>
      <c r="L74" s="57" t="s">
        <v>338</v>
      </c>
      <c r="M74" s="57" t="s">
        <v>548</v>
      </c>
      <c r="N74" s="57" t="s">
        <v>555</v>
      </c>
      <c r="O74" s="282" t="s">
        <v>546</v>
      </c>
      <c r="P74" s="57" t="s">
        <v>534</v>
      </c>
      <c r="Q74" s="57" t="s">
        <v>556</v>
      </c>
      <c r="R74" s="302" t="s">
        <v>551</v>
      </c>
    </row>
    <row r="75" spans="1:18" ht="171" customHeight="1">
      <c r="A75" s="54" t="b">
        <v>0</v>
      </c>
      <c r="B75" s="68" t="s">
        <v>109</v>
      </c>
      <c r="C75" s="49" t="s">
        <v>518</v>
      </c>
      <c r="D75" s="49" t="s">
        <v>542</v>
      </c>
      <c r="E75" s="49" t="s">
        <v>557</v>
      </c>
      <c r="F75" s="69" t="s">
        <v>305</v>
      </c>
      <c r="G75" s="69" t="s">
        <v>438</v>
      </c>
      <c r="H75" s="52" t="s">
        <v>558</v>
      </c>
      <c r="I75" s="69" t="s">
        <v>439</v>
      </c>
      <c r="J75" s="52" t="s">
        <v>558</v>
      </c>
      <c r="K75" s="49" t="s">
        <v>407</v>
      </c>
      <c r="L75" s="49" t="s">
        <v>349</v>
      </c>
      <c r="M75" s="49" t="s">
        <v>537</v>
      </c>
      <c r="N75" s="49" t="s">
        <v>559</v>
      </c>
      <c r="O75" s="52" t="s">
        <v>560</v>
      </c>
      <c r="P75" s="49" t="s">
        <v>527</v>
      </c>
      <c r="Q75" s="49" t="s">
        <v>561</v>
      </c>
      <c r="R75" s="55" t="s">
        <v>562</v>
      </c>
    </row>
    <row r="76" spans="1:18" ht="171" customHeight="1">
      <c r="A76" s="54" t="b">
        <v>0</v>
      </c>
      <c r="B76" s="68" t="s">
        <v>109</v>
      </c>
      <c r="C76" s="49" t="s">
        <v>518</v>
      </c>
      <c r="D76" s="49" t="s">
        <v>563</v>
      </c>
      <c r="E76" s="49" t="s">
        <v>564</v>
      </c>
      <c r="F76" s="69" t="s">
        <v>565</v>
      </c>
      <c r="G76" s="230" t="s">
        <v>566</v>
      </c>
      <c r="H76" s="299" t="s">
        <v>523</v>
      </c>
      <c r="I76" s="298" t="s">
        <v>347</v>
      </c>
      <c r="J76" s="299" t="s">
        <v>523</v>
      </c>
      <c r="K76" s="49" t="s">
        <v>337</v>
      </c>
      <c r="L76" s="49" t="s">
        <v>349</v>
      </c>
      <c r="M76" s="49" t="s">
        <v>537</v>
      </c>
      <c r="N76" s="49" t="s">
        <v>567</v>
      </c>
      <c r="O76" s="52" t="s">
        <v>568</v>
      </c>
      <c r="P76" s="49" t="s">
        <v>569</v>
      </c>
      <c r="Q76" s="49" t="s">
        <v>570</v>
      </c>
      <c r="R76" s="55" t="s">
        <v>571</v>
      </c>
    </row>
    <row r="77" spans="1:18" ht="105.5" customHeight="1">
      <c r="A77" s="390" t="b">
        <v>0</v>
      </c>
      <c r="B77" s="393" t="s">
        <v>83</v>
      </c>
      <c r="C77" s="396" t="s">
        <v>518</v>
      </c>
      <c r="D77" s="396" t="s">
        <v>519</v>
      </c>
      <c r="E77" s="406" t="s">
        <v>572</v>
      </c>
      <c r="F77" s="404" t="s">
        <v>307</v>
      </c>
      <c r="G77" s="396" t="s">
        <v>438</v>
      </c>
      <c r="H77" s="399" t="s">
        <v>573</v>
      </c>
      <c r="I77" s="396" t="s">
        <v>439</v>
      </c>
      <c r="J77" s="399" t="s">
        <v>574</v>
      </c>
      <c r="K77" s="396" t="s">
        <v>407</v>
      </c>
      <c r="L77" s="396" t="s">
        <v>349</v>
      </c>
      <c r="M77" s="396" t="s">
        <v>537</v>
      </c>
      <c r="N77" s="396" t="s">
        <v>575</v>
      </c>
      <c r="O77" s="399" t="s">
        <v>574</v>
      </c>
      <c r="P77" s="396" t="s">
        <v>534</v>
      </c>
      <c r="Q77" s="396" t="s">
        <v>576</v>
      </c>
      <c r="R77" s="288" t="s">
        <v>746</v>
      </c>
    </row>
    <row r="78" spans="1:18" ht="76.5" customHeight="1">
      <c r="A78" s="392"/>
      <c r="B78" s="395"/>
      <c r="C78" s="398"/>
      <c r="D78" s="398"/>
      <c r="E78" s="407"/>
      <c r="F78" s="405"/>
      <c r="G78" s="398"/>
      <c r="H78" s="400"/>
      <c r="I78" s="398"/>
      <c r="J78" s="400"/>
      <c r="K78" s="398"/>
      <c r="L78" s="398"/>
      <c r="M78" s="398"/>
      <c r="N78" s="398"/>
      <c r="O78" s="400"/>
      <c r="P78" s="398"/>
      <c r="Q78" s="398"/>
      <c r="R78" s="293" t="s">
        <v>747</v>
      </c>
    </row>
    <row r="79" spans="1:18" ht="182">
      <c r="A79" s="58" t="b">
        <v>0</v>
      </c>
      <c r="B79" s="102" t="s">
        <v>83</v>
      </c>
      <c r="C79" s="59" t="s">
        <v>518</v>
      </c>
      <c r="D79" s="59" t="s">
        <v>542</v>
      </c>
      <c r="E79" s="59" t="s">
        <v>578</v>
      </c>
      <c r="F79" s="71" t="s">
        <v>311</v>
      </c>
      <c r="G79" s="57" t="s">
        <v>438</v>
      </c>
      <c r="H79" s="303" t="s">
        <v>579</v>
      </c>
      <c r="I79" s="57" t="s">
        <v>439</v>
      </c>
      <c r="J79" s="303" t="s">
        <v>579</v>
      </c>
      <c r="K79" s="59" t="s">
        <v>337</v>
      </c>
      <c r="L79" s="59" t="s">
        <v>349</v>
      </c>
      <c r="M79" s="59" t="s">
        <v>537</v>
      </c>
      <c r="N79" s="59" t="s">
        <v>580</v>
      </c>
      <c r="O79" s="297" t="s">
        <v>581</v>
      </c>
      <c r="P79" s="59" t="s">
        <v>534</v>
      </c>
      <c r="Q79" s="59" t="s">
        <v>582</v>
      </c>
      <c r="R79" s="304" t="s">
        <v>583</v>
      </c>
    </row>
    <row r="80" spans="1:18" ht="13">
      <c r="A80" s="10"/>
      <c r="B80" s="305"/>
      <c r="C80" s="10"/>
      <c r="D80" s="10"/>
      <c r="E80" s="10"/>
      <c r="F80" s="14"/>
      <c r="G80" s="10"/>
      <c r="H80" s="10"/>
      <c r="I80" s="306"/>
      <c r="J80" s="10"/>
      <c r="K80" s="10"/>
      <c r="L80" s="10"/>
      <c r="M80" s="10"/>
      <c r="N80" s="10"/>
      <c r="O80" s="307"/>
      <c r="P80" s="10"/>
      <c r="Q80" s="10"/>
      <c r="R80" s="10"/>
    </row>
    <row r="86" spans="17:17" ht="15.75" customHeight="1">
      <c r="Q86" s="90" t="s">
        <v>584</v>
      </c>
    </row>
  </sheetData>
  <autoFilter ref="A2:R79" xr:uid="{CB668EB1-DCFC-44D8-8724-C86FFAAFEF42}"/>
  <mergeCells count="402">
    <mergeCell ref="A6:A8"/>
    <mergeCell ref="B6:B8"/>
    <mergeCell ref="C6:C8"/>
    <mergeCell ref="D6:D8"/>
    <mergeCell ref="E6:E8"/>
    <mergeCell ref="F6:F8"/>
    <mergeCell ref="I3:I5"/>
    <mergeCell ref="M6:M8"/>
    <mergeCell ref="N6:N8"/>
    <mergeCell ref="O6:O8"/>
    <mergeCell ref="P6:P8"/>
    <mergeCell ref="Q6:Q8"/>
    <mergeCell ref="G6:G8"/>
    <mergeCell ref="H7:H8"/>
    <mergeCell ref="I6:I8"/>
    <mergeCell ref="K6:K8"/>
    <mergeCell ref="J7:J8"/>
    <mergeCell ref="L6:L8"/>
    <mergeCell ref="Q3:Q5"/>
    <mergeCell ref="A9:A10"/>
    <mergeCell ref="B9:B10"/>
    <mergeCell ref="C9:C10"/>
    <mergeCell ref="D9:D10"/>
    <mergeCell ref="E9:E10"/>
    <mergeCell ref="F9:F10"/>
    <mergeCell ref="G9:G10"/>
    <mergeCell ref="I9:I10"/>
    <mergeCell ref="J9:J10"/>
    <mergeCell ref="K3:K5"/>
    <mergeCell ref="L3:L5"/>
    <mergeCell ref="M3:M5"/>
    <mergeCell ref="N3:N5"/>
    <mergeCell ref="O3:O5"/>
    <mergeCell ref="P3:P5"/>
    <mergeCell ref="H4:H5"/>
    <mergeCell ref="A3:A5"/>
    <mergeCell ref="B3:B5"/>
    <mergeCell ref="C3:C5"/>
    <mergeCell ref="D3:D5"/>
    <mergeCell ref="E3:E5"/>
    <mergeCell ref="F3:F5"/>
    <mergeCell ref="G3:G5"/>
    <mergeCell ref="Q9:Q10"/>
    <mergeCell ref="A11:A12"/>
    <mergeCell ref="B11:B12"/>
    <mergeCell ref="C11:C12"/>
    <mergeCell ref="D11:D12"/>
    <mergeCell ref="E11:E12"/>
    <mergeCell ref="F11:F12"/>
    <mergeCell ref="G11:G12"/>
    <mergeCell ref="I11:I12"/>
    <mergeCell ref="J11:J12"/>
    <mergeCell ref="K9:K10"/>
    <mergeCell ref="L9:L10"/>
    <mergeCell ref="M9:M10"/>
    <mergeCell ref="N9:N10"/>
    <mergeCell ref="O9:O10"/>
    <mergeCell ref="P9:P10"/>
    <mergeCell ref="Q11:Q12"/>
    <mergeCell ref="K11:K12"/>
    <mergeCell ref="L11:L12"/>
    <mergeCell ref="M11:M12"/>
    <mergeCell ref="N11:N12"/>
    <mergeCell ref="O11:O12"/>
    <mergeCell ref="P11:P12"/>
    <mergeCell ref="M15:M16"/>
    <mergeCell ref="N15:N16"/>
    <mergeCell ref="O15:O16"/>
    <mergeCell ref="A13:A14"/>
    <mergeCell ref="B13:B14"/>
    <mergeCell ref="C13:C14"/>
    <mergeCell ref="D13:D14"/>
    <mergeCell ref="E13:E14"/>
    <mergeCell ref="F13:F14"/>
    <mergeCell ref="G13:G14"/>
    <mergeCell ref="H13:H14"/>
    <mergeCell ref="I13:I14"/>
    <mergeCell ref="F17:F19"/>
    <mergeCell ref="G17:G19"/>
    <mergeCell ref="H17:H19"/>
    <mergeCell ref="J15:J16"/>
    <mergeCell ref="Q13:Q14"/>
    <mergeCell ref="A15:A16"/>
    <mergeCell ref="B15:B16"/>
    <mergeCell ref="C15:C16"/>
    <mergeCell ref="D15:D16"/>
    <mergeCell ref="E15:E16"/>
    <mergeCell ref="F15:F16"/>
    <mergeCell ref="G15:G16"/>
    <mergeCell ref="H15:H16"/>
    <mergeCell ref="I15:I16"/>
    <mergeCell ref="K13:K14"/>
    <mergeCell ref="L13:L14"/>
    <mergeCell ref="M13:M14"/>
    <mergeCell ref="N13:N14"/>
    <mergeCell ref="O13:O14"/>
    <mergeCell ref="P13:P14"/>
    <mergeCell ref="P15:P16"/>
    <mergeCell ref="Q15:Q16"/>
    <mergeCell ref="K15:K16"/>
    <mergeCell ref="L15:L16"/>
    <mergeCell ref="O17:O19"/>
    <mergeCell ref="P17:P19"/>
    <mergeCell ref="Q17:Q19"/>
    <mergeCell ref="A20:A22"/>
    <mergeCell ref="B20:B22"/>
    <mergeCell ref="C20:C22"/>
    <mergeCell ref="D20:D22"/>
    <mergeCell ref="E20:E22"/>
    <mergeCell ref="F20:F22"/>
    <mergeCell ref="G20:G22"/>
    <mergeCell ref="I17:I19"/>
    <mergeCell ref="J17:J19"/>
    <mergeCell ref="K17:K19"/>
    <mergeCell ref="L17:L19"/>
    <mergeCell ref="M17:M19"/>
    <mergeCell ref="N17:N19"/>
    <mergeCell ref="N20:N22"/>
    <mergeCell ref="P20:P22"/>
    <mergeCell ref="Q20:Q22"/>
    <mergeCell ref="A17:A19"/>
    <mergeCell ref="B17:B19"/>
    <mergeCell ref="C17:C19"/>
    <mergeCell ref="D17:D19"/>
    <mergeCell ref="E17:E19"/>
    <mergeCell ref="Q23:Q25"/>
    <mergeCell ref="P23:P25"/>
    <mergeCell ref="O23:O25"/>
    <mergeCell ref="N23:N25"/>
    <mergeCell ref="H20:H22"/>
    <mergeCell ref="I20:I22"/>
    <mergeCell ref="J20:J22"/>
    <mergeCell ref="K20:K22"/>
    <mergeCell ref="L20:L22"/>
    <mergeCell ref="M20:M22"/>
    <mergeCell ref="A23:A25"/>
    <mergeCell ref="N26:N28"/>
    <mergeCell ref="M26:M28"/>
    <mergeCell ref="L26:L28"/>
    <mergeCell ref="K26:K28"/>
    <mergeCell ref="J26:J28"/>
    <mergeCell ref="I26:I28"/>
    <mergeCell ref="H26:H28"/>
    <mergeCell ref="G26:G28"/>
    <mergeCell ref="F26:F28"/>
    <mergeCell ref="G23:G25"/>
    <mergeCell ref="F23:F25"/>
    <mergeCell ref="E23:E25"/>
    <mergeCell ref="D23:D25"/>
    <mergeCell ref="C23:C25"/>
    <mergeCell ref="B23:B25"/>
    <mergeCell ref="M23:M25"/>
    <mergeCell ref="L23:L25"/>
    <mergeCell ref="K23:K25"/>
    <mergeCell ref="J23:J25"/>
    <mergeCell ref="I23:I25"/>
    <mergeCell ref="H23:H25"/>
    <mergeCell ref="Q26:Q28"/>
    <mergeCell ref="A29:A32"/>
    <mergeCell ref="B29:B32"/>
    <mergeCell ref="C29:C32"/>
    <mergeCell ref="D29:D32"/>
    <mergeCell ref="E29:E32"/>
    <mergeCell ref="F29:F32"/>
    <mergeCell ref="G29:G32"/>
    <mergeCell ref="H29:H32"/>
    <mergeCell ref="I29:I32"/>
    <mergeCell ref="E26:E28"/>
    <mergeCell ref="D26:D28"/>
    <mergeCell ref="C26:C28"/>
    <mergeCell ref="B26:B28"/>
    <mergeCell ref="A26:A28"/>
    <mergeCell ref="P26:P28"/>
    <mergeCell ref="Q29:Q32"/>
    <mergeCell ref="A33:A35"/>
    <mergeCell ref="B33:B35"/>
    <mergeCell ref="C33:C35"/>
    <mergeCell ref="D33:D35"/>
    <mergeCell ref="E33:E35"/>
    <mergeCell ref="F33:F35"/>
    <mergeCell ref="G33:G35"/>
    <mergeCell ref="H33:H35"/>
    <mergeCell ref="K29:K32"/>
    <mergeCell ref="K33:K35"/>
    <mergeCell ref="I33:I35"/>
    <mergeCell ref="J33:J35"/>
    <mergeCell ref="R31:R32"/>
    <mergeCell ref="L29:L32"/>
    <mergeCell ref="M29:M32"/>
    <mergeCell ref="N29:N32"/>
    <mergeCell ref="O29:O32"/>
    <mergeCell ref="P29:P32"/>
    <mergeCell ref="O33:O35"/>
    <mergeCell ref="P33:P35"/>
    <mergeCell ref="Q33:Q35"/>
    <mergeCell ref="L33:L35"/>
    <mergeCell ref="M33:M35"/>
    <mergeCell ref="N33:N35"/>
    <mergeCell ref="H36:H39"/>
    <mergeCell ref="I36:I39"/>
    <mergeCell ref="J36:J39"/>
    <mergeCell ref="A36:A39"/>
    <mergeCell ref="B36:B39"/>
    <mergeCell ref="C36:C39"/>
    <mergeCell ref="D36:D39"/>
    <mergeCell ref="E36:E39"/>
    <mergeCell ref="F36:F39"/>
    <mergeCell ref="G36:G39"/>
    <mergeCell ref="K36:K39"/>
    <mergeCell ref="L36:L39"/>
    <mergeCell ref="M36:M39"/>
    <mergeCell ref="M40:M42"/>
    <mergeCell ref="N40:N42"/>
    <mergeCell ref="O40:O42"/>
    <mergeCell ref="P40:P42"/>
    <mergeCell ref="Q40:Q42"/>
    <mergeCell ref="K40:K42"/>
    <mergeCell ref="L40:L42"/>
    <mergeCell ref="N36:N39"/>
    <mergeCell ref="O36:O39"/>
    <mergeCell ref="P36:P39"/>
    <mergeCell ref="Q36:Q39"/>
    <mergeCell ref="A43:A44"/>
    <mergeCell ref="B43:B44"/>
    <mergeCell ref="C43:C44"/>
    <mergeCell ref="D43:D44"/>
    <mergeCell ref="E43:E44"/>
    <mergeCell ref="G40:G42"/>
    <mergeCell ref="H40:H42"/>
    <mergeCell ref="I40:I42"/>
    <mergeCell ref="J40:J42"/>
    <mergeCell ref="A40:A42"/>
    <mergeCell ref="B40:B42"/>
    <mergeCell ref="C40:C42"/>
    <mergeCell ref="D40:D42"/>
    <mergeCell ref="E40:E42"/>
    <mergeCell ref="F40:F42"/>
    <mergeCell ref="L43:L44"/>
    <mergeCell ref="M43:M44"/>
    <mergeCell ref="N43:N44"/>
    <mergeCell ref="O43:O44"/>
    <mergeCell ref="P43:P44"/>
    <mergeCell ref="Q43:Q44"/>
    <mergeCell ref="F43:F44"/>
    <mergeCell ref="G43:G44"/>
    <mergeCell ref="H43:H44"/>
    <mergeCell ref="I43:I44"/>
    <mergeCell ref="J43:J44"/>
    <mergeCell ref="K43:K44"/>
    <mergeCell ref="M45:M46"/>
    <mergeCell ref="N45:N46"/>
    <mergeCell ref="O45:O46"/>
    <mergeCell ref="P45:P46"/>
    <mergeCell ref="Q45:Q46"/>
    <mergeCell ref="A47:A49"/>
    <mergeCell ref="B47:B49"/>
    <mergeCell ref="C47:C49"/>
    <mergeCell ref="D47:D49"/>
    <mergeCell ref="E47:E49"/>
    <mergeCell ref="G45:G46"/>
    <mergeCell ref="H45:H46"/>
    <mergeCell ref="I45:I46"/>
    <mergeCell ref="J45:J46"/>
    <mergeCell ref="K45:K46"/>
    <mergeCell ref="L45:L46"/>
    <mergeCell ref="A45:A46"/>
    <mergeCell ref="B45:B46"/>
    <mergeCell ref="C45:C46"/>
    <mergeCell ref="D45:D46"/>
    <mergeCell ref="E45:E46"/>
    <mergeCell ref="F45:F46"/>
    <mergeCell ref="L47:L49"/>
    <mergeCell ref="M47:M49"/>
    <mergeCell ref="N47:N49"/>
    <mergeCell ref="P47:P49"/>
    <mergeCell ref="Q47:Q49"/>
    <mergeCell ref="A50:A53"/>
    <mergeCell ref="B50:B53"/>
    <mergeCell ref="C50:C53"/>
    <mergeCell ref="D50:D53"/>
    <mergeCell ref="E50:E53"/>
    <mergeCell ref="F47:F49"/>
    <mergeCell ref="G47:G49"/>
    <mergeCell ref="H47:H49"/>
    <mergeCell ref="I47:I49"/>
    <mergeCell ref="J47:J49"/>
    <mergeCell ref="K47:K49"/>
    <mergeCell ref="L50:L53"/>
    <mergeCell ref="M50:M53"/>
    <mergeCell ref="N50:N53"/>
    <mergeCell ref="O50:O53"/>
    <mergeCell ref="P50:P53"/>
    <mergeCell ref="Q50:Q53"/>
    <mergeCell ref="F50:F53"/>
    <mergeCell ref="G50:G53"/>
    <mergeCell ref="H50:H53"/>
    <mergeCell ref="I50:I53"/>
    <mergeCell ref="J50:J53"/>
    <mergeCell ref="K50:K53"/>
    <mergeCell ref="G55:G57"/>
    <mergeCell ref="H55:H57"/>
    <mergeCell ref="I55:I57"/>
    <mergeCell ref="J55:J57"/>
    <mergeCell ref="K55:K57"/>
    <mergeCell ref="L55:L57"/>
    <mergeCell ref="A55:A57"/>
    <mergeCell ref="B55:B57"/>
    <mergeCell ref="C55:C57"/>
    <mergeCell ref="D55:D57"/>
    <mergeCell ref="E55:E57"/>
    <mergeCell ref="F55:F57"/>
    <mergeCell ref="M55:M57"/>
    <mergeCell ref="N55:N57"/>
    <mergeCell ref="O56:O57"/>
    <mergeCell ref="P55:P57"/>
    <mergeCell ref="Q55:Q57"/>
    <mergeCell ref="Q58:Q59"/>
    <mergeCell ref="P58:P59"/>
    <mergeCell ref="O58:O59"/>
    <mergeCell ref="N58:N59"/>
    <mergeCell ref="M58:M59"/>
    <mergeCell ref="F58:F59"/>
    <mergeCell ref="E58:E59"/>
    <mergeCell ref="D58:D59"/>
    <mergeCell ref="C58:C59"/>
    <mergeCell ref="B58:B59"/>
    <mergeCell ref="A58:A59"/>
    <mergeCell ref="L58:L59"/>
    <mergeCell ref="K58:K59"/>
    <mergeCell ref="J58:J59"/>
    <mergeCell ref="I58:I59"/>
    <mergeCell ref="H58:H59"/>
    <mergeCell ref="G58:G59"/>
    <mergeCell ref="K60:K62"/>
    <mergeCell ref="J60:J62"/>
    <mergeCell ref="I60:I62"/>
    <mergeCell ref="H60:H62"/>
    <mergeCell ref="G60:G62"/>
    <mergeCell ref="F60:F62"/>
    <mergeCell ref="Q60:Q62"/>
    <mergeCell ref="P60:P62"/>
    <mergeCell ref="O60:O62"/>
    <mergeCell ref="N60:N62"/>
    <mergeCell ref="M60:M62"/>
    <mergeCell ref="L60:L62"/>
    <mergeCell ref="E60:E62"/>
    <mergeCell ref="D60:D62"/>
    <mergeCell ref="C60:C62"/>
    <mergeCell ref="B60:B62"/>
    <mergeCell ref="A60:A62"/>
    <mergeCell ref="A63:A65"/>
    <mergeCell ref="B63:B65"/>
    <mergeCell ref="C63:C65"/>
    <mergeCell ref="D63:D65"/>
    <mergeCell ref="E63:E65"/>
    <mergeCell ref="H63:H65"/>
    <mergeCell ref="I63:I65"/>
    <mergeCell ref="J63:J65"/>
    <mergeCell ref="K63:K65"/>
    <mergeCell ref="M67:M69"/>
    <mergeCell ref="N67:N69"/>
    <mergeCell ref="O67:O69"/>
    <mergeCell ref="P67:P69"/>
    <mergeCell ref="Q67:Q69"/>
    <mergeCell ref="Q77:Q78"/>
    <mergeCell ref="P77:P78"/>
    <mergeCell ref="O77:O78"/>
    <mergeCell ref="N77:N78"/>
    <mergeCell ref="M77:M78"/>
    <mergeCell ref="J3:J5"/>
    <mergeCell ref="F77:F78"/>
    <mergeCell ref="E77:E78"/>
    <mergeCell ref="D77:D78"/>
    <mergeCell ref="G67:G69"/>
    <mergeCell ref="H67:H69"/>
    <mergeCell ref="I67:I69"/>
    <mergeCell ref="J67:J69"/>
    <mergeCell ref="K67:K69"/>
    <mergeCell ref="L67:L69"/>
    <mergeCell ref="F67:F69"/>
    <mergeCell ref="L63:L65"/>
    <mergeCell ref="M63:M65"/>
    <mergeCell ref="N63:N65"/>
    <mergeCell ref="O63:O65"/>
    <mergeCell ref="P63:P65"/>
    <mergeCell ref="Q63:Q65"/>
    <mergeCell ref="F63:F65"/>
    <mergeCell ref="G63:G65"/>
    <mergeCell ref="A67:A69"/>
    <mergeCell ref="B67:B69"/>
    <mergeCell ref="C67:C69"/>
    <mergeCell ref="D67:D69"/>
    <mergeCell ref="E67:E69"/>
    <mergeCell ref="C77:C78"/>
    <mergeCell ref="B77:B78"/>
    <mergeCell ref="A77:A78"/>
    <mergeCell ref="L77:L78"/>
    <mergeCell ref="K77:K78"/>
    <mergeCell ref="J77:J78"/>
    <mergeCell ref="I77:I78"/>
    <mergeCell ref="H77:H78"/>
    <mergeCell ref="G77:G78"/>
  </mergeCells>
  <dataValidations count="1">
    <dataValidation type="list" allowBlank="1" showErrorMessage="1" sqref="C6 C3 C9 C11 C13 C15 C17 C20 C23 C26 C29 C33 C36 C40 C43 C45 C47 C50 C54:C55 C58 C60 C63 C66:C67 C70:C77 C79" xr:uid="{AD764F05-CCB9-4D8A-BC9F-BB6D97CCC37D}">
      <formula1>"Human Resources,Credit "</formula1>
    </dataValidation>
  </dataValidations>
  <hyperlinks>
    <hyperlink ref="H3" r:id="rId1" display="Women Empowerment Principles, 2021_x000a__x000a_Private Equity and Value Creation, 2020" xr:uid="{CFD1B739-B1D9-4E92-8D81-158E2359E0CC}"/>
    <hyperlink ref="J3" r:id="rId2" xr:uid="{05904B11-ACD6-4567-B6A7-9E49D83A85DC}"/>
    <hyperlink ref="O3" r:id="rId3" xr:uid="{A45CA110-4912-4FB2-94B8-464633B8D551}"/>
    <hyperlink ref="H6" r:id="rId4" display="Women Empowerment Principles, 2021_x000a__x000a_Private Equity and Value Creation, 2020" xr:uid="{26F998A7-BB30-4CBA-9548-2FC2A69E73E9}"/>
    <hyperlink ref="J6" r:id="rId5" display="2X Criteria Reference Guide_x000a__x000a_FTSE Women Leaders Review" xr:uid="{28CD5DBA-C637-423B-871F-6B027414A255}"/>
    <hyperlink ref="O6" r:id="rId6" location="/" xr:uid="{C2F2E401-0258-4E07-BBD3-7121B1D4BD37}"/>
    <hyperlink ref="R6" r:id="rId7" display="1. Women in Workplace 2022, page 33 _x000a_2. Women in Workplace 2022, page 44 _x000a_3. HeForShe Alliance_x000a_IMPACT REPORT 2024, page 12" xr:uid="{66AB0A97-F019-4526-BBB1-52E15F4B7C9E}"/>
    <hyperlink ref="H9" r:id="rId8" display="Women Empowerment Principles, 2021_x000a__x000a_Private Equity and Value Creation, 2020" xr:uid="{24988225-CE0F-4F07-B801-DC1DC7022156}"/>
    <hyperlink ref="J9" r:id="rId9" xr:uid="{49B5ACD2-2C4A-4296-B566-8E18E1C19642}"/>
    <hyperlink ref="O9" r:id="rId10" location="/" xr:uid="{94C6AD6E-BAF0-476C-AB0E-E9442935D63F}"/>
    <hyperlink ref="R9" r:id="rId11" display="1.  OECD Corporate Governance Working Papers No. 28, page 9 _x000a_2. Women's World Banking, page 18 " xr:uid="{6878597C-3D11-4D8C-8BD8-BE8EAE6AA5EE}"/>
    <hyperlink ref="J11" r:id="rId12" xr:uid="{F10B6F5C-8981-4922-AEF9-0030BC4A3F90}"/>
    <hyperlink ref="O11" r:id="rId13" location="/" xr:uid="{A8A3005A-4EA3-4CCF-9B92-FAFDCAC91422}"/>
    <hyperlink ref="R11" r:id="rId14" display="1. Women's Empowerment Principles _x000a_2. Women in leadership, page 12 " xr:uid="{93FD0F13-0AFF-42F7-9B06-24D4050F44E6}"/>
    <hyperlink ref="J13" r:id="rId15" display="2X Criteria Reference Guide_x000a__x000a_FTSE Women Leaders Review" xr:uid="{A587CA91-DD5B-4E6F-8BD2-B39775EC8244}"/>
    <hyperlink ref="O13" r:id="rId16" location="/" xr:uid="{2A98A9FC-C8BC-4536-9E07-6E597C647044}"/>
    <hyperlink ref="H15" r:id="rId17" xr:uid="{D616BE82-8684-409E-900B-9E2BAAEA9C5F}"/>
    <hyperlink ref="J15" r:id="rId18" xr:uid="{2E8B79D7-9257-4A19-B6C1-5C1F91A2497E}"/>
    <hyperlink ref="O15" r:id="rId19" location="/" xr:uid="{B2FC4419-7B6B-41B6-A9C6-5CF801EB795C}"/>
    <hyperlink ref="R16" r:id="rId20" xr:uid="{EAD7B15C-D4E2-4EAF-B850-6E16560BF807}"/>
    <hyperlink ref="H17" r:id="rId21" xr:uid="{1E9C18FF-5F58-4DB9-81AC-DEE2D27BB624}"/>
    <hyperlink ref="J17" r:id="rId22" xr:uid="{551A6428-65E4-43D3-A648-C556CA0D3CBF}"/>
    <hyperlink ref="O17" r:id="rId23" xr:uid="{7A7A7B93-239F-4DA7-9AD1-859FB97AE6E1}"/>
    <hyperlink ref="R17" r:id="rId24" display="1. IFC _x000a_2. UN Women _x000a_3. World Bank " xr:uid="{4087AF8F-6EF0-45F6-A28B-BBC45702913A}"/>
    <hyperlink ref="H20" r:id="rId25" xr:uid="{9124479B-6DB5-45E7-9555-CB7416B9ED18}"/>
    <hyperlink ref="J20" r:id="rId26" xr:uid="{301B513A-3D77-4C18-AC23-CAD01A7EF743}"/>
    <hyperlink ref="O20" r:id="rId27" display="The Simple Truth About the Gender Pay Gap, 2018_x000a__x000a_The Simple Truth About the Gender Pay Gap, 2022_x000a__x000a_EIB Gender equality and women’s economic empowerment" xr:uid="{4F9AC2E7-4342-45FD-A53F-C311758BCC6A}"/>
    <hyperlink ref="R20" r:id="rId28" xr:uid="{7A4A66EB-9099-49A1-A617-FAD315C1FEAC}"/>
    <hyperlink ref="H23" r:id="rId29" xr:uid="{27341CF3-1A73-45C4-90D3-A6957544D77F}"/>
    <hyperlink ref="J23" r:id="rId30" xr:uid="{C41C50CF-03C2-4AE3-BAB0-4309437190E3}"/>
    <hyperlink ref="O23" r:id="rId31" xr:uid="{B7B8A852-B7FF-44C0-ABED-541B87698137}"/>
    <hyperlink ref="R23" r:id="rId32" display="1. UN Special Measures for the Achievement of Gender Equality _x000a_2. World Bank Group _x000a_3. ILO " xr:uid="{FC98D3B9-ACC6-45CF-BE87-6D3DE49F375C}"/>
    <hyperlink ref="H26" r:id="rId33" xr:uid="{869D1DF4-8970-49B3-ADB2-442DBFBD483B}"/>
    <hyperlink ref="J26" r:id="rId34" xr:uid="{5772B1CD-8551-4B55-A2DC-A852BD6C35C3}"/>
    <hyperlink ref="O26" r:id="rId35" location="/" display="McKinsey Diversity matters even more: The case for holistic impact, 2023_x000a__x000a_Gender Balance Index, 2024_x000a__x000a_Toolkit for Mainstreaming and Implementing Gender Equality, 2023 (OECD)" xr:uid="{2E770F67-BC3F-4CB1-BBDC-54B9DB45CD94}"/>
    <hyperlink ref="R26" r:id="rId36" display="1. ILO (pag.30-31)_x000a_2. OECD (pag.16-17)_x000a_3. UN  (pag.7-9)" xr:uid="{CA75CB98-1E33-4A31-BC57-B57DC1F7B55E}"/>
    <hyperlink ref="H29" r:id="rId37" xr:uid="{16DF5DD1-B354-4C26-9A46-E17AC2793D28}"/>
    <hyperlink ref="J29" r:id="rId38" xr:uid="{6648B892-B086-48BB-86A4-F1A2AC450F54}"/>
    <hyperlink ref="O29" r:id="rId39" xr:uid="{CE08FA78-A0C0-4FE2-A39B-01DA9CBFE749}"/>
    <hyperlink ref="R29" r:id="rId40" display="https://www.ilo.org/sites/default/files/wcmsp5/groups/public/%40ed_norm/%40declaration/documents/publication/wcms_536630.pdf" xr:uid="{91D3F5C6-5F91-46F3-87BD-C2212F5E91AB}"/>
    <hyperlink ref="H33" r:id="rId41" xr:uid="{41AA1018-4491-4625-AC41-7D537733CE5C}"/>
    <hyperlink ref="J33" r:id="rId42" xr:uid="{C053AE81-7677-40A6-855F-2E5C3D27B22C}"/>
    <hyperlink ref="O33" r:id="rId43" xr:uid="{6E14C210-07C3-4894-9393-80D1252566EE}"/>
    <hyperlink ref="R33" r:id="rId44" display="1. ILO (pag.18-19) _x000a_2. OECD (pag.56-58) _x000a_3. EHRC (pag.16-18) " xr:uid="{9BD5F24D-E8BE-4DA1-90CC-03B8B69AD878}"/>
    <hyperlink ref="H36" r:id="rId45" xr:uid="{EA35C354-C47C-483F-93E8-6AC3B3053FF8}"/>
    <hyperlink ref="J36" r:id="rId46" xr:uid="{27699022-954C-4381-9C37-D2493E50BF2E}"/>
    <hyperlink ref="O36" r:id="rId47" xr:uid="{235939FE-CBBE-4694-818D-6466314A90BE}"/>
    <hyperlink ref="R36" r:id="rId48" display="1. OECD (pag 25-32)_x000a_2. OECD (pag. 9-12)_x000a_3. OECD (pag.13-14) _x000a_4. OECD (pag.24-26)" xr:uid="{0DFA8839-CC85-4C78-A39B-DC02F2615B88}"/>
    <hyperlink ref="H40" r:id="rId49" xr:uid="{31A7EFCF-9F1C-480A-9333-BBAC768AAF4D}"/>
    <hyperlink ref="J40" r:id="rId50" xr:uid="{3F08A33F-2211-42DB-87BF-63B79CC15B90}"/>
    <hyperlink ref="O40" r:id="rId51" xr:uid="{62F5CC6D-DE12-4BD9-A3C0-1F79C17FD5B6}"/>
    <hyperlink ref="R40" r:id="rId52" display="1. UN Women (pag.12-14) _x000a_2. World Bank (pag.3-5) _x000a_3. McKinsey's 2019 &quot;Women in the Workplace&quot; report, pag 5 and 18 " xr:uid="{7CB55503-27B0-41DA-A873-5B0A796699A6}"/>
    <hyperlink ref="H43" r:id="rId53" xr:uid="{26BB3565-7FE1-407E-8BD2-DF742C126508}"/>
    <hyperlink ref="J43" r:id="rId54" xr:uid="{107E0D0D-78CD-4647-9E72-5D632319C1D8}"/>
    <hyperlink ref="R43" r:id="rId55" display="1. OWSD _x000a_2. World Bank" xr:uid="{9F031355-123A-416E-8EC2-954A23ADE610}"/>
    <hyperlink ref="H45" r:id="rId56" xr:uid="{D43E0E8F-01CB-4C29-8966-1FBA3A2065A7}"/>
    <hyperlink ref="J45" r:id="rId57" xr:uid="{440BC2F8-7215-4387-8F8C-7F95F6C868D4}"/>
    <hyperlink ref="R45" r:id="rId58" display="1. UN Women _x000a_2. IGC  " xr:uid="{C3BABADF-0BCD-49DD-AECB-877FB733F6D4}"/>
    <hyperlink ref="H47" r:id="rId59" xr:uid="{6047F83F-E8EC-4120-B762-7DEB3BA462FB}"/>
    <hyperlink ref="J47" r:id="rId60" xr:uid="{7DE30326-6543-4E71-A83E-CE81A96B92A6}"/>
    <hyperlink ref="O47" r:id="rId61" display="Driving Accountability &amp; Transparency in the Private Sector _x000a__x000a__x000a_Delivering Gender Equality: Best Practices Framework in Male Dominated Industries (USAID, 2023)_x000a__x000a_McKinsey Diversity matters even more: The case for holistic impact, 2023" xr:uid="{981F4479-8919-418C-B120-2A27CA7AAB88}"/>
    <hyperlink ref="H50" r:id="rId62" xr:uid="{E0DB8194-EDB9-4D91-AF98-4F34B50DECB7}"/>
    <hyperlink ref="J50" r:id="rId63" xr:uid="{26B594E5-C958-4797-BEE9-CF884D4AD3CB}"/>
    <hyperlink ref="O50" r:id="rId64" xr:uid="{83D52342-7273-40F6-A6A2-450CFC070D9A}"/>
    <hyperlink ref="R50" r:id="rId65" display="1. ILO (pg. 13-15) _x000a_2. ILO (pg. 13-15) _x000a_3.  European institute for gender equality _x000a_4. European institute for gender equality" xr:uid="{BE230E85-1A08-4EC7-891D-BD436170F7F2}"/>
    <hyperlink ref="H54" r:id="rId66" xr:uid="{4DD7121A-640D-484F-893C-51D94D8F41E0}"/>
    <hyperlink ref="J54" r:id="rId67" xr:uid="{44750AB5-0708-4BA9-8DA9-A9E1D938ABC0}"/>
    <hyperlink ref="O54" r:id="rId68" xr:uid="{AB24FF94-B89C-4C43-9B82-6BB4A279D78A}"/>
    <hyperlink ref="R54" r:id="rId69" xr:uid="{0FB61459-D8AC-4981-A895-9F569D3C767E}"/>
    <hyperlink ref="H55" r:id="rId70" xr:uid="{1C625C03-30C4-4ADD-8864-760059DDA4FE}"/>
    <hyperlink ref="J55" r:id="rId71" xr:uid="{83900330-95E0-4391-963E-703C7153D924}"/>
    <hyperlink ref="O55" r:id="rId72" xr:uid="{9A1B9D0E-CF9A-4EC5-A5AE-2CBAA56157FE}"/>
    <hyperlink ref="R55" r:id="rId73" display="1. UN Women (pg.7-8) _x000a_2. UN Women (pg. 5-7) _x000a_3. UN Women (pg. 8-10) " xr:uid="{EED7F00B-BCF8-4A46-A4B2-7BC38108867C}"/>
    <hyperlink ref="H58" r:id="rId74" xr:uid="{F6F63B76-B1C0-4277-9321-036BBD4F69BB}"/>
    <hyperlink ref="J58" r:id="rId75" xr:uid="{4DC53782-851F-443C-A41B-B7436494EA10}"/>
    <hyperlink ref="O58" r:id="rId76" xr:uid="{BA12B018-B12C-4551-A535-8BEBF8CD2F4D}"/>
    <hyperlink ref="R58" r:id="rId77" display="1. UN Women (pg.7-10) _x000a_2. UN Women (pg. 1-7) " xr:uid="{6901C502-42B2-45F9-82BF-74D08097EEBC}"/>
    <hyperlink ref="H60" r:id="rId78" xr:uid="{6865A22A-4311-4307-991B-4C93B2C32DF4}"/>
    <hyperlink ref="J60" r:id="rId79" xr:uid="{CCEBF9DA-C4A4-4263-8F54-30DA40D83742}"/>
    <hyperlink ref="O60" r:id="rId80" xr:uid="{194F5ECF-48B0-44AE-8CB4-B2AA121FF599}"/>
    <hyperlink ref="R60" r:id="rId81" display="1. UN Women (pg.7-8) _x000a_2. UN Women (pg. 5-7) _x000a_3. UN Women (pg. 8-10) " xr:uid="{5C216F07-D647-4F81-90E5-C9D95382DF75}"/>
    <hyperlink ref="H63" r:id="rId82" xr:uid="{152C3F69-2505-4E2A-B09B-4BDC30243A4F}"/>
    <hyperlink ref="J63" r:id="rId83" xr:uid="{39028894-686A-4432-8352-67D909E30736}"/>
    <hyperlink ref="O63" r:id="rId84" xr:uid="{472EFA08-B732-4E67-A296-C999570CF8AD}"/>
    <hyperlink ref="H66" r:id="rId85" xr:uid="{FFDA8522-86D8-482A-B17E-1D1FFE3E5BC4}"/>
    <hyperlink ref="J66" r:id="rId86" xr:uid="{86C2828C-2253-46B2-84F5-A9A05D43946C}"/>
    <hyperlink ref="O66" r:id="rId87" xr:uid="{3C122322-7E2B-4C5F-96FF-7D415C3BC528}"/>
    <hyperlink ref="R66" r:id="rId88" xr:uid="{2E2E0915-C76C-4151-A7CB-89DB4721BDD1}"/>
    <hyperlink ref="H67" r:id="rId89" xr:uid="{059CF380-EF88-4BC7-AADB-D348D26F5B9E}"/>
    <hyperlink ref="J67" r:id="rId90" xr:uid="{4057B165-5345-4CD0-A00B-D56326405069}"/>
    <hyperlink ref="O67" r:id="rId91" xr:uid="{19E7605A-289E-4EDE-9C8B-FBD54943FC8F}"/>
    <hyperlink ref="R67" r:id="rId92" display="1. Akina Mama Wa Africa  (pg. 5-7) _x000a_2. ILO ( (pg. 8) _x000a_3. European Institute for gender equality " xr:uid="{AE4F75C2-07C8-4525-AFCB-9CDA1D619DC6}"/>
    <hyperlink ref="H70" r:id="rId93" xr:uid="{9FF9F274-A75E-42AC-9E1C-470E5F75F1C0}"/>
    <hyperlink ref="J70" r:id="rId94" xr:uid="{C61808C7-67A6-4190-9F02-5DB4B99B541E}"/>
    <hyperlink ref="O70" r:id="rId95" xr:uid="{A3B71164-6772-491C-9776-017F71CD4DD7}"/>
    <hyperlink ref="R70" r:id="rId96" xr:uid="{503798B6-03A9-4376-BB96-D508D4B21C44}"/>
    <hyperlink ref="H71" r:id="rId97" xr:uid="{B863AC7A-678F-4C47-8D7C-A5E76E5B4127}"/>
    <hyperlink ref="J71" r:id="rId98" xr:uid="{89E2F739-F813-43ED-81AA-7EBE267190F3}"/>
    <hyperlink ref="O71" r:id="rId99" xr:uid="{1280DC73-B9EA-4F05-A1C8-45F245CD7742}"/>
    <hyperlink ref="R71" r:id="rId100" xr:uid="{B53619C5-3515-4A19-9A39-4EE43F51990F}"/>
    <hyperlink ref="H72" r:id="rId101" xr:uid="{FCBFFA9A-7150-4642-8E83-1C6C1F5C5B50}"/>
    <hyperlink ref="J72" r:id="rId102" xr:uid="{2A519A29-097A-431B-8C76-E1742C50897B}"/>
    <hyperlink ref="O72" r:id="rId103" xr:uid="{A30579F4-DE14-4C07-9BAD-6C56C0E278DC}"/>
    <hyperlink ref="R72" r:id="rId104" xr:uid="{1BBF9440-0D5D-41F6-9AFC-EBE9397D8BB4}"/>
    <hyperlink ref="H73" r:id="rId105" xr:uid="{1283E03F-25B8-4A30-BEE5-C50907FE35F1}"/>
    <hyperlink ref="J73" r:id="rId106" xr:uid="{FA479DCD-F888-4E81-A46D-69C3E6700F54}"/>
    <hyperlink ref="O73" r:id="rId107" xr:uid="{7F52901C-FC66-4525-A313-39F56112F05F}"/>
    <hyperlink ref="R73" r:id="rId108" xr:uid="{FF5B210B-61FB-43E0-AD88-37FBA9D0729F}"/>
    <hyperlink ref="H74" r:id="rId109" xr:uid="{2CADB2C6-4D09-499D-9B72-7BD4F6FF0F01}"/>
    <hyperlink ref="J74" r:id="rId110" xr:uid="{E9EB6A8E-BFE9-4455-A4CA-E10F7865D4D7}"/>
    <hyperlink ref="O74" r:id="rId111" xr:uid="{6BD27F66-678F-44D7-836F-08D8C84297E4}"/>
    <hyperlink ref="R74" r:id="rId112" xr:uid="{423BB15F-B9F6-4E28-9DCB-63F8E8816129}"/>
    <hyperlink ref="H75" r:id="rId113" xr:uid="{10C56ABB-37D6-4C97-B225-B2EA8BF7A021}"/>
    <hyperlink ref="J75" r:id="rId114" xr:uid="{205A7D31-8921-4259-82FD-1BE8141DB49B}"/>
    <hyperlink ref="O75" r:id="rId115" xr:uid="{1D39AB5F-5F4F-4EDF-B553-C17161EF9DB3}"/>
    <hyperlink ref="R75" r:id="rId116" xr:uid="{9700CC97-F9CF-4C47-A28B-4DC667BC3823}"/>
    <hyperlink ref="H76" r:id="rId117" xr:uid="{422CF866-B333-4ED9-B0BE-5DF281554BEC}"/>
    <hyperlink ref="J76" r:id="rId118" xr:uid="{40DD4E2D-F174-43AD-A896-50A65D4194B4}"/>
    <hyperlink ref="O76" r:id="rId119" display="A. Blanco-Oliver, A. Samaniego, M.J. Palacin-Sanchez,  How do loan officer-borrower gender-driven behavioural differences impact on the microfinance lending market?,  Borsa Istanbul Review,  Volume 24, Issue 3,  2024,  Pages 435-448,  ISSN 2214-8450_x000a__x000a_Beck" xr:uid="{8AD9F717-19D2-43A1-8FD9-9C9B6C730C41}"/>
    <hyperlink ref="R76" r:id="rId120" xr:uid="{3C5B9240-7BF0-46AE-8986-B484F33861FF}"/>
    <hyperlink ref="H77" r:id="rId121" xr:uid="{42EB2387-AB61-4029-9E24-AF9BAD7E9E24}"/>
    <hyperlink ref="J77" r:id="rId122" xr:uid="{1F763469-AE4D-4894-BAB5-3316E6193AAF}"/>
    <hyperlink ref="O77" r:id="rId123" xr:uid="{A298DA1E-4801-43AC-9BE5-EAC2B5DC1A16}"/>
    <hyperlink ref="R77" r:id="rId124" display="Women's World Banking Credit Score Bias PG 12-20_x000a__x000a_Lendingkart's AI-based Credit Model" xr:uid="{0096CB26-0E0E-4D6B-8EFC-A7048FBAAA1D}"/>
    <hyperlink ref="H79" r:id="rId125" xr:uid="{2AEB2F4D-BBC7-4201-B687-57D3CB8F2C6F}"/>
    <hyperlink ref="J79" r:id="rId126" xr:uid="{2EE9E1F9-E708-451A-A429-11F348EB8457}"/>
    <hyperlink ref="O79" r:id="rId127" xr:uid="{E2546992-34E0-46CC-9805-B35363EC708A}"/>
    <hyperlink ref="R79" r:id="rId128" xr:uid="{31EE7A70-4FDF-4C23-8221-02847368AB38}"/>
    <hyperlink ref="J7" r:id="rId129" display="2X Criteria Reference Guide_x000a__x000a_FTSE Women Leaders Review" xr:uid="{5B9DDDDA-9706-499F-928A-1F0E5D8EB9E2}"/>
    <hyperlink ref="R7" r:id="rId130" display="1. Women in Workplace 2022, page 33 _x000a_2. Women in Workplace 2022, page 44 _x000a_3. HeForShe Alliance_x000a_IMPACT REPORT 2024, page 12" xr:uid="{CA201EE8-1BE0-40E2-ADD5-9F64E4EA856B}"/>
    <hyperlink ref="R4" r:id="rId131" display="1. Women in Workplace 2022, page 33 _x000a_2. Women in Workplace 2022, page 44 _x000a_3. HeForShe Alliance_x000a_IMPACT REPORT 2024, page 12" xr:uid="{B67606C6-8F09-4AAF-985B-2D91AD35199F}"/>
    <hyperlink ref="R3" r:id="rId132" display="1. Women in Workplace 2022, page 33 _x000a_2. Women in Workplace 2022, page 44 _x000a_3. HeForShe Alliance_x000a_IMPACT REPORT 2024, page 12" xr:uid="{3896CEF5-B6A0-4D7E-9176-838C250B005C}"/>
    <hyperlink ref="H13" r:id="rId133" xr:uid="{3AC13671-9A9C-44D1-9146-3D9D9EA0F808}"/>
    <hyperlink ref="R10" r:id="rId134" xr:uid="{1B0A3220-27A1-4C1B-836C-E2619CF3A1F4}"/>
    <hyperlink ref="H12" r:id="rId135" xr:uid="{B64F0061-74C0-407C-B5E1-D886EC30758B}"/>
    <hyperlink ref="R12" r:id="rId136" xr:uid="{E89E99F3-90A9-4A1A-AF64-C86789506BCB}"/>
    <hyperlink ref="J14" r:id="rId137" display="2X Criteria Reference Guide_x000a__x000a_FTSE Women Leaders Review" xr:uid="{9E6D7DCA-2532-42BD-90BF-F817BF28A863}"/>
    <hyperlink ref="R13" r:id="rId138" display="1. Women's Empowerment Principles _x000a_2. Women in leadership, page 12 " xr:uid="{15C27FE1-2F31-4E68-B073-766211A74D24}"/>
    <hyperlink ref="R14" r:id="rId139" xr:uid="{3AA48CAD-B725-4D6E-B288-491347B9CA17}"/>
    <hyperlink ref="R15" r:id="rId140" display="1. IWF _x000a_2. Women's World Banking, page 9" xr:uid="{2A5A60E0-91D5-4771-95B7-4F8A24FE4600}"/>
    <hyperlink ref="R18" r:id="rId141" display="https://www.unwomen.org/sites/default/files/Headquarters/Attachments/Sections/How We Work/Gender-parity/Gender-parity-Vacancy-announcements-good-practices-en.pdf" xr:uid="{C47823F2-CB14-4D07-A746-633FA2DD0C19}"/>
    <hyperlink ref="R19" r:id="rId142" xr:uid="{7DBC998F-685D-4D0A-BC8F-2DC1D9D96C4D}"/>
    <hyperlink ref="O21" r:id="rId143" xr:uid="{72305BE8-B9B5-4C50-8EC2-FD1E5F4CE8B3}"/>
    <hyperlink ref="O22" r:id="rId144" xr:uid="{854998B0-CF8D-47C6-B1D1-E15E06D1165E}"/>
    <hyperlink ref="R21" r:id="rId145" xr:uid="{8D2BD1A6-EE5F-4027-AC17-4495B5F35D8B}"/>
    <hyperlink ref="R22" r:id="rId146" xr:uid="{99DADD2F-2111-433D-BB7E-982FA3D2856D}"/>
    <hyperlink ref="R24" r:id="rId147" display="1. UN Special Measures for the Achievement of Gender Equality _x000a_2. World Bank Group _x000a_3. ILO " xr:uid="{D34575D9-935D-4C51-AD61-1B768EBB5BE6}"/>
    <hyperlink ref="R25" r:id="rId148" xr:uid="{F0B3AFD2-3884-46BC-BF17-98AEC4ACB5D0}"/>
    <hyperlink ref="O27" r:id="rId149" location="/" display="McKinsey Diversity matters even more: The case for holistic impact, 2023_x000a__x000a_Gender Balance Index, 2024_x000a__x000a_Toolkit for Mainstreaming and Implementing Gender Equality, 2023 (OECD)" xr:uid="{54A4E58A-E186-42E9-8BBC-2BEA3AC155F8}"/>
    <hyperlink ref="O28" r:id="rId150" location="/" display="McKinsey Diversity matters even more: The case for holistic impact, 2023_x000a__x000a_Gender Balance Index, 2024_x000a__x000a_Toolkit for Mainstreaming and Implementing Gender Equality, 2023 (OECD)" xr:uid="{02ACEF2E-278D-47CF-A357-AC8BEF7ED787}"/>
    <hyperlink ref="R27" r:id="rId151" display="1. ILO (pag.30-31)_x000a_2. OECD (pag.16-17)_x000a_3. UN  (pag.7-9)" xr:uid="{7E4CA73C-BA02-4DBC-B436-4EA6F3ABBA73}"/>
    <hyperlink ref="R28" r:id="rId152" display="1. ILO (pag.30-31)_x000a_2. OECD (pag.16-17)_x000a_3. UN  (pag.7-9)" xr:uid="{A750A5BC-89C6-4DD0-B5AD-9702FC53F64B}"/>
    <hyperlink ref="J30" r:id="rId153" xr:uid="{4BF6CA43-35D5-4BDE-9511-1492A6D6EB1E}"/>
    <hyperlink ref="J31" r:id="rId154" xr:uid="{472D88BE-B777-465E-B683-F1959C7F42BB}"/>
    <hyperlink ref="J32" r:id="rId155" xr:uid="{2B5222CE-AE34-4F90-BE2E-75B4566EDB63}"/>
    <hyperlink ref="R30" r:id="rId156" xr:uid="{DC4B3C3D-FEDB-4E5A-9F23-22CE89B32A49}"/>
    <hyperlink ref="R31" r:id="rId157" display="1. ILO (pag.18-19) _x000a_2. OECD (pag.56-58) _x000a_3. EHRC (pag.16-18) " xr:uid="{8D2AE7CB-C70F-434E-BE6A-9B856E77AC93}"/>
    <hyperlink ref="R34" r:id="rId158" xr:uid="{FC3C3D34-58A2-4ED9-B10E-46CD4F5FB5DB}"/>
    <hyperlink ref="R35" r:id="rId159" xr:uid="{DC95ABD6-7434-4064-AEF3-E6459B0F394A}"/>
    <hyperlink ref="R37" r:id="rId160" display="1. OECD (pag 25-32)_x000a_2. OECD (pag. 9-12)_x000a_3. OECD (pag.13-14) _x000a_4. OECD (pag.24-26)" xr:uid="{548BB7AA-48CD-494A-A75C-D87D711AFFF8}"/>
    <hyperlink ref="R38" r:id="rId161" display="1. OECD (pag 25-32)_x000a_2. OECD (pag. 9-12)_x000a_3. OECD (pag.13-14) _x000a_4. OECD (pag.24-26)" xr:uid="{CD72DA18-4FEF-4F28-9EE9-C19BB9DA83E0}"/>
    <hyperlink ref="R39" r:id="rId162" display="1. OECD (pag 25-32)_x000a_2. OECD (pag. 9-12)_x000a_3. OECD (pag.13-14) _x000a_4. OECD (pag.24-26)" xr:uid="{E1350929-7311-48E6-B698-D7DBC3DABFE6}"/>
    <hyperlink ref="R41" r:id="rId163" xr:uid="{9BB73CBE-CA61-4EBA-81C8-7614D0159675}"/>
    <hyperlink ref="R42" r:id="rId164" xr:uid="{22CAF773-355A-4DC7-806B-C6CAEFAE0299}"/>
    <hyperlink ref="R44" r:id="rId165" xr:uid="{12CECBCE-A095-4AC4-A494-5DCE1E7C3A80}"/>
    <hyperlink ref="R47" r:id="rId166" display="1. UNICEF (pg. 13-14) _x000a_2. UNICEF (pg. 13-14)  _x000a_3. OECD (pg. 58-62) " xr:uid="{7C998DFC-D8FC-4DB0-9097-A6692BDF9084}"/>
    <hyperlink ref="R46" r:id="rId167" xr:uid="{C4415F80-19F2-45E3-A4DE-682B13AEC319}"/>
    <hyperlink ref="O48" r:id="rId168" display="Driving Accountability &amp; Transparency in the Private Sector _x000a__x000a__x000a_Delivering Gender Equality: Best Practices Framework in Male Dominated Industries (USAID, 2023)_x000a__x000a_McKinsey Diversity matters even more: The case for holistic impact, 2023" xr:uid="{46211452-74A1-421C-A6AA-F8FEA13F85BC}"/>
    <hyperlink ref="O49" r:id="rId169" display="Driving Accountability &amp; Transparency in the Private Sector _x000a__x000a__x000a_Delivering Gender Equality: Best Practices Framework in Male Dominated Industries (USAID, 2023)_x000a__x000a_McKinsey Diversity matters even more: The case for holistic impact, 2023" xr:uid="{DF6DF65B-C9D7-4E26-BC91-232AF752B769}"/>
    <hyperlink ref="R48" r:id="rId170" display="1. UNICEF (pg. 13-14) _x000a_2. UNICEF (pg. 13-14)  _x000a_3. OECD (pg. 58-62) " xr:uid="{330D9F20-3236-451B-BFAE-492923883523}"/>
    <hyperlink ref="R49" r:id="rId171" xr:uid="{E1D15538-EEDA-4F7E-AABA-1E1B2C751017}"/>
    <hyperlink ref="R51" r:id="rId172" display="1. ILO (pg. 13-15) _x000a_2. ILO (pg. 13-15) _x000a_3.  European institute for gender equality _x000a_4. European institute for gender equality" xr:uid="{122A677D-350A-4830-9135-66C985779681}"/>
    <hyperlink ref="R52" r:id="rId173" xr:uid="{F937EB76-AD80-47B5-9F24-994E4FA29103}"/>
    <hyperlink ref="R53" r:id="rId174" xr:uid="{B4CDE2F3-7C94-4F6E-8502-E20FDFDEAA28}"/>
    <hyperlink ref="O56" r:id="rId175" display="UN Policy Template: Gender-based Violence and Harassment at Work_x000a__x000a_UN Policy Template: Domestic Violence " xr:uid="{2BF38DF6-0FCF-42BE-9BB4-64C1C9B63950}"/>
    <hyperlink ref="R56" r:id="rId176" xr:uid="{7E47CE90-5717-4C8C-8546-BE34D003F94D}"/>
    <hyperlink ref="R57" r:id="rId177" xr:uid="{3678EB19-7892-49A0-ACAE-B79E3F0FEA23}"/>
    <hyperlink ref="R59" r:id="rId178" display="https://www.weps.org/sites/default/files/2021-02/WEPs_Flexible_Work_Policy_Template.pdf" xr:uid="{E60F6DF9-5E57-4359-ACF7-6635D256D688}"/>
    <hyperlink ref="R63" r:id="rId179" display="1. UN Women (page 10-15) _x000a_2. UN Women (pg. 10-15 _x000a_3. UN Women (Pg. 28-29)  " xr:uid="{E3F9972D-B16B-419A-BC2F-EADB242393D8}"/>
    <hyperlink ref="R61" r:id="rId180" xr:uid="{2D929439-C3FB-4B75-8545-3B22CB015224}"/>
    <hyperlink ref="R62" r:id="rId181" xr:uid="{3117743F-D034-4888-B6F5-7F1FE9FAEB45}"/>
    <hyperlink ref="R64" r:id="rId182" display="1. UN Women (page 10-15) _x000a_2. UN Women (pg. 10-15 _x000a_3. UN Women (Pg. 28-29)  " xr:uid="{CE6013A1-D412-44C8-B0C6-58D072192307}"/>
    <hyperlink ref="R65" r:id="rId183" display="1. UN Women (page 10-15) _x000a_2. UN Women (pg. 10-15 _x000a_3. UN Women (Pg. 28-29)  " xr:uid="{F4C41A40-15FF-4191-9590-B89F839CF3DC}"/>
    <hyperlink ref="R68" r:id="rId184" xr:uid="{CD3012E9-019C-4187-A640-90D2879CB6D6}"/>
    <hyperlink ref="R69" r:id="rId185" location="toc-definition-and-purpose" xr:uid="{29D3D6E2-8087-4220-BD48-2D979A8E61C7}"/>
    <hyperlink ref="R78" r:id="rId186" xr:uid="{33D0855C-288C-49EA-9199-ABC8C60CF4B5}"/>
    <hyperlink ref="H4" r:id="rId187" display="Women Empowerment Principles, 2021_x000a__x000a_Private Equity and Value Creation, 2020" xr:uid="{760F735D-9D5E-435C-A5FB-D5DFBB5569B9}"/>
    <hyperlink ref="J7:J8" r:id="rId188" display="https://ftsewomenleaders.com/wp-content/uploads/2025/03/ftse-report-master-2025-online-v3.pdf" xr:uid="{E2DFA4D5-5B49-4918-8731-F7C11889C8FA}"/>
    <hyperlink ref="R8" r:id="rId189" display="https://www.mckinsey.com/~/media/mckinsey/featured insights/diversity and inclusion/women in the workplace 2022/women-in-the-workplace-2022.pdf" xr:uid="{450541ED-EBB2-47D7-BC2A-04B709A60CBB}"/>
    <hyperlink ref="R5" r:id="rId190" xr:uid="{68405730-32C2-4F89-9E2D-3365BDB4BC5E}"/>
    <hyperlink ref="H10" r:id="rId191" xr:uid="{2D2D8C8B-B7B2-4246-9F01-F7A4E8007949}"/>
    <hyperlink ref="H11" r:id="rId192" display="Women Empowerment Principles, 2021_x000a__x000a_Private Equity and Value Creation, 2020" xr:uid="{0B740635-EF7C-479C-803B-3150BAFA8FE5}"/>
    <hyperlink ref="R31:R32" r:id="rId193" display="3. EHRC (pag.16-18) " xr:uid="{4D4059D3-E51B-4616-B3A8-CC905D4492E7}"/>
    <hyperlink ref="O56:O57" r:id="rId194" display="https://www.weps.org/sites/default/files/2021-03/Policy_Template_Domestic_Violence.pdf" xr:uid="{DEDF6F9B-6AA4-43CD-8DF7-59A97C17FD12}"/>
    <hyperlink ref="H4:H5" r:id="rId195" display="Private Equity and Value Creation, 2020" xr:uid="{B7738B52-9A0D-4DBF-8656-BD87776C2D3E}"/>
    <hyperlink ref="H7" r:id="rId196" display="Women Empowerment Principles, 2021_x000a__x000a_Private Equity and Value Creation, 2020" xr:uid="{281F143C-FCB8-4ECA-A529-C9D98DD6CEEF}"/>
    <hyperlink ref="H7:H8" r:id="rId197" display="Private Equity and Value Creation, 2020" xr:uid="{3FF4CB0D-E50D-48C5-921D-E56E4E1E8ED7}"/>
  </hyperlinks>
  <printOptions horizontalCentered="1" gridLines="1"/>
  <pageMargins left="0.7" right="0.7" top="0.75" bottom="0.75" header="0" footer="0"/>
  <pageSetup scale="35" fitToHeight="0" pageOrder="overThenDown" orientation="landscape" cellComments="atEnd" r:id="rId198"/>
  <drawing r:id="rId199"/>
  <legacyDrawing r:id="rId2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3F916-275F-4837-B957-E34E18A3890D}">
  <sheetPr codeName="Sheet5">
    <tabColor rgb="FF9CA71C"/>
  </sheetPr>
  <dimension ref="A1:L131"/>
  <sheetViews>
    <sheetView showGridLines="0" view="pageBreakPreview" zoomScaleNormal="54" zoomScaleSheetLayoutView="100" workbookViewId="0"/>
  </sheetViews>
  <sheetFormatPr baseColWidth="10" defaultColWidth="8.83203125" defaultRowHeight="13"/>
  <cols>
    <col min="1" max="1" width="27.5" customWidth="1"/>
    <col min="2" max="2" width="12.5" bestFit="1" customWidth="1"/>
    <col min="3" max="3" width="13.5" customWidth="1"/>
    <col min="4" max="4" width="18.5" customWidth="1"/>
    <col min="5" max="5" width="14.5" customWidth="1"/>
    <col min="6" max="6" width="8.83203125" bestFit="1" customWidth="1"/>
    <col min="7" max="7" width="9.5" bestFit="1" customWidth="1"/>
    <col min="8" max="8" width="8.83203125" bestFit="1" customWidth="1"/>
  </cols>
  <sheetData>
    <row r="1" spans="1:12">
      <c r="A1" s="247" t="e" vm="1">
        <v>#VALUE!</v>
      </c>
    </row>
    <row r="2" spans="1:12">
      <c r="A2" s="276" t="s">
        <v>748</v>
      </c>
      <c r="B2" s="277"/>
      <c r="C2" s="277"/>
      <c r="D2" s="278"/>
      <c r="E2" s="261"/>
      <c r="F2" s="261"/>
      <c r="G2" s="261"/>
      <c r="H2" s="261"/>
      <c r="I2" s="261"/>
      <c r="J2" s="261"/>
      <c r="K2" s="261"/>
      <c r="L2" s="262"/>
    </row>
    <row r="3" spans="1:12">
      <c r="A3" s="273"/>
      <c r="B3" s="274"/>
      <c r="C3" s="275" t="s">
        <v>749</v>
      </c>
      <c r="D3" s="275" t="s">
        <v>127</v>
      </c>
      <c r="L3" s="263"/>
    </row>
    <row r="4" spans="1:12">
      <c r="A4" s="433" t="s">
        <v>135</v>
      </c>
      <c r="B4" s="208">
        <f>YEAR('Key Gender Metrics'!C4)</f>
        <v>2022</v>
      </c>
      <c r="C4" s="207">
        <f>'Key Gender Metrics'!C13</f>
        <v>0.5</v>
      </c>
      <c r="D4" s="207">
        <f>'Key Gender Metrics'!L13</f>
        <v>0.5</v>
      </c>
      <c r="L4" s="263"/>
    </row>
    <row r="5" spans="1:12">
      <c r="A5" s="433"/>
      <c r="B5" s="208">
        <f>YEAR('Key Gender Metrics'!D4)</f>
        <v>2023</v>
      </c>
      <c r="C5" s="207">
        <f>'Key Gender Metrics'!D13</f>
        <v>0.5</v>
      </c>
      <c r="D5" s="207">
        <f>'Key Gender Metrics'!M13</f>
        <v>0.5</v>
      </c>
      <c r="L5" s="263"/>
    </row>
    <row r="6" spans="1:12">
      <c r="A6" s="433"/>
      <c r="B6" s="208">
        <f>YEAR('Key Gender Metrics'!E4)</f>
        <v>2024</v>
      </c>
      <c r="C6" s="207">
        <f>'Key Gender Metrics'!E13</f>
        <v>0.4</v>
      </c>
      <c r="D6" s="207">
        <f>'Key Gender Metrics'!N13</f>
        <v>0.6</v>
      </c>
      <c r="L6" s="263"/>
    </row>
    <row r="7" spans="1:12">
      <c r="A7" s="433" t="s">
        <v>750</v>
      </c>
      <c r="B7" s="208">
        <f>YEAR('Key Gender Metrics'!C4)</f>
        <v>2022</v>
      </c>
      <c r="C7" s="207">
        <f>'Key Gender Metrics'!C12</f>
        <v>0.33333333333333331</v>
      </c>
      <c r="D7" s="207">
        <f>'Key Gender Metrics'!L12</f>
        <v>0.66666666666666663</v>
      </c>
      <c r="L7" s="263"/>
    </row>
    <row r="8" spans="1:12">
      <c r="A8" s="433"/>
      <c r="B8" s="208">
        <f>YEAR('Key Gender Metrics'!D4)</f>
        <v>2023</v>
      </c>
      <c r="C8" s="207">
        <f>'Key Gender Metrics'!D12</f>
        <v>0.42857142857142855</v>
      </c>
      <c r="D8" s="207">
        <f>'Key Gender Metrics'!M12</f>
        <v>0.5714285714285714</v>
      </c>
      <c r="L8" s="263"/>
    </row>
    <row r="9" spans="1:12">
      <c r="A9" s="433"/>
      <c r="B9" s="208">
        <f>YEAR('Key Gender Metrics'!E4)</f>
        <v>2024</v>
      </c>
      <c r="C9" s="207">
        <f>'Key Gender Metrics'!E12</f>
        <v>0.42857142857142855</v>
      </c>
      <c r="D9" s="207">
        <f>'Key Gender Metrics'!N12</f>
        <v>0.5714285714285714</v>
      </c>
      <c r="L9" s="263"/>
    </row>
    <row r="10" spans="1:12">
      <c r="A10" s="433" t="s">
        <v>751</v>
      </c>
      <c r="B10" s="208">
        <f>YEAR('Key Gender Metrics'!C4)</f>
        <v>2022</v>
      </c>
      <c r="C10" s="207">
        <f>'Key Gender Metrics'!C11</f>
        <v>0.33333333333333331</v>
      </c>
      <c r="D10" s="207">
        <f>'Key Gender Metrics'!L11</f>
        <v>0.66666666666666663</v>
      </c>
      <c r="L10" s="263"/>
    </row>
    <row r="11" spans="1:12">
      <c r="A11" s="433"/>
      <c r="B11" s="208">
        <f>YEAR('Key Gender Metrics'!D4)</f>
        <v>2023</v>
      </c>
      <c r="C11" s="207">
        <f>'Key Gender Metrics'!D11</f>
        <v>0.33333333333333331</v>
      </c>
      <c r="D11" s="207">
        <f>'Key Gender Metrics'!M11</f>
        <v>0.66666666666666663</v>
      </c>
      <c r="L11" s="263"/>
    </row>
    <row r="12" spans="1:12">
      <c r="A12" s="433"/>
      <c r="B12" s="208">
        <f>YEAR('Key Gender Metrics'!E4)</f>
        <v>2024</v>
      </c>
      <c r="C12" s="207">
        <f>'Key Gender Metrics'!E11</f>
        <v>0.2</v>
      </c>
      <c r="D12" s="207">
        <f>'Key Gender Metrics'!N11</f>
        <v>0.8</v>
      </c>
      <c r="L12" s="263"/>
    </row>
    <row r="13" spans="1:12">
      <c r="A13" s="433" t="s">
        <v>752</v>
      </c>
      <c r="B13" s="208">
        <f>YEAR('Key Gender Metrics'!C4)</f>
        <v>2022</v>
      </c>
      <c r="C13" s="207">
        <f>'Key Gender Metrics'!C9</f>
        <v>0.33333333333333331</v>
      </c>
      <c r="D13" s="207">
        <f>'Key Gender Metrics'!L9</f>
        <v>0.66666666666666663</v>
      </c>
      <c r="L13" s="263"/>
    </row>
    <row r="14" spans="1:12">
      <c r="A14" s="433"/>
      <c r="B14" s="208">
        <f>YEAR('Key Gender Metrics'!D4)</f>
        <v>2023</v>
      </c>
      <c r="C14" s="207">
        <f>'Key Gender Metrics'!E9</f>
        <v>0.25</v>
      </c>
      <c r="D14" s="207">
        <f>'Key Gender Metrics'!M9</f>
        <v>0.75</v>
      </c>
      <c r="L14" s="263"/>
    </row>
    <row r="15" spans="1:12">
      <c r="A15" s="433"/>
      <c r="B15" s="208">
        <f>YEAR('Key Gender Metrics'!E4)</f>
        <v>2024</v>
      </c>
      <c r="C15" s="207">
        <f>'Key Gender Metrics'!D9</f>
        <v>0.25</v>
      </c>
      <c r="D15" s="207">
        <f>'Key Gender Metrics'!N9</f>
        <v>0.75</v>
      </c>
      <c r="L15" s="263"/>
    </row>
    <row r="16" spans="1:12">
      <c r="A16" s="264"/>
      <c r="L16" s="263"/>
    </row>
    <row r="17" spans="1:12">
      <c r="A17" s="265"/>
      <c r="B17" s="266"/>
      <c r="C17" s="266"/>
      <c r="D17" s="266"/>
      <c r="E17" s="266"/>
      <c r="F17" s="266"/>
      <c r="G17" s="266"/>
      <c r="H17" s="266"/>
      <c r="I17" s="266"/>
      <c r="J17" s="266"/>
      <c r="K17" s="266"/>
      <c r="L17" s="267"/>
    </row>
    <row r="19" spans="1:12">
      <c r="A19" s="260" t="s">
        <v>753</v>
      </c>
      <c r="B19" s="277"/>
      <c r="C19" s="277"/>
      <c r="D19" s="277"/>
      <c r="E19" s="261"/>
      <c r="F19" s="261"/>
      <c r="G19" s="261"/>
      <c r="H19" s="261"/>
      <c r="I19" s="261"/>
      <c r="J19" s="261"/>
      <c r="K19" s="261"/>
      <c r="L19" s="262"/>
    </row>
    <row r="20" spans="1:12">
      <c r="B20" s="209">
        <f>YEAR('Key Gender Metrics'!C4)</f>
        <v>2022</v>
      </c>
      <c r="C20" s="209">
        <f>YEAR('Key Gender Metrics'!D4)</f>
        <v>2023</v>
      </c>
      <c r="D20" s="209">
        <f>YEAR('Key Gender Metrics'!E4)</f>
        <v>2024</v>
      </c>
      <c r="L20" s="263"/>
    </row>
    <row r="21" spans="1:12">
      <c r="A21" s="180" t="str">
        <f>'Key Gender Metrics'!B18</f>
        <v>Average salary ratio-women: men</v>
      </c>
      <c r="B21" s="210">
        <f>'Key Gender Metrics'!C18</f>
        <v>0.59583333333333333</v>
      </c>
      <c r="C21" s="210">
        <f>'Key Gender Metrics'!D18</f>
        <v>0.57361111111111107</v>
      </c>
      <c r="D21" s="210">
        <f>'Key Gender Metrics'!E18</f>
        <v>0.84444444444444455</v>
      </c>
      <c r="L21" s="263"/>
    </row>
    <row r="22" spans="1:12">
      <c r="A22" s="264"/>
      <c r="L22" s="263"/>
    </row>
    <row r="23" spans="1:12">
      <c r="A23" s="264"/>
      <c r="L23" s="263"/>
    </row>
    <row r="24" spans="1:12">
      <c r="A24" s="264"/>
      <c r="L24" s="263"/>
    </row>
    <row r="25" spans="1:12">
      <c r="A25" s="264"/>
      <c r="L25" s="263"/>
    </row>
    <row r="26" spans="1:12">
      <c r="A26" s="264"/>
      <c r="L26" s="263"/>
    </row>
    <row r="27" spans="1:12">
      <c r="A27" s="264"/>
      <c r="L27" s="263"/>
    </row>
    <row r="28" spans="1:12">
      <c r="A28" s="264"/>
      <c r="L28" s="263"/>
    </row>
    <row r="29" spans="1:12">
      <c r="A29" s="264"/>
      <c r="L29" s="263"/>
    </row>
    <row r="30" spans="1:12">
      <c r="A30" s="265"/>
      <c r="B30" s="266"/>
      <c r="C30" s="266"/>
      <c r="D30" s="266"/>
      <c r="E30" s="266"/>
      <c r="F30" s="266"/>
      <c r="G30" s="266"/>
      <c r="H30" s="266"/>
      <c r="I30" s="266"/>
      <c r="J30" s="266"/>
      <c r="K30" s="266"/>
      <c r="L30" s="267"/>
    </row>
    <row r="32" spans="1:12">
      <c r="A32" s="268" t="s">
        <v>754</v>
      </c>
      <c r="B32" s="277"/>
      <c r="C32" s="277"/>
      <c r="D32" s="278"/>
      <c r="E32" s="261"/>
      <c r="F32" s="261"/>
      <c r="G32" s="261"/>
      <c r="H32" s="261"/>
      <c r="I32" s="261"/>
      <c r="J32" s="261"/>
      <c r="K32" s="261"/>
      <c r="L32" s="262"/>
    </row>
    <row r="33" spans="1:12">
      <c r="A33" s="180"/>
      <c r="B33" s="180"/>
      <c r="C33" s="180" t="s">
        <v>130</v>
      </c>
      <c r="D33" s="180" t="s">
        <v>127</v>
      </c>
      <c r="L33" s="263"/>
    </row>
    <row r="34" spans="1:12">
      <c r="A34" s="437" t="s">
        <v>755</v>
      </c>
      <c r="B34" s="209">
        <f>YEAR('Key Gender Metrics'!C4)</f>
        <v>2022</v>
      </c>
      <c r="C34" s="211">
        <f>'Key Gender Metrics'!C24</f>
        <v>0.5</v>
      </c>
      <c r="D34" s="211">
        <f>'Key Gender Metrics'!C25</f>
        <v>0.25</v>
      </c>
      <c r="L34" s="263"/>
    </row>
    <row r="35" spans="1:12">
      <c r="A35" s="437"/>
      <c r="B35" s="209">
        <f>YEAR('Key Gender Metrics'!D4)</f>
        <v>2023</v>
      </c>
      <c r="C35" s="211">
        <f>'Key Gender Metrics'!D24</f>
        <v>0.5</v>
      </c>
      <c r="D35" s="211">
        <f>'Key Gender Metrics'!D25</f>
        <v>0</v>
      </c>
      <c r="L35" s="263"/>
    </row>
    <row r="36" spans="1:12">
      <c r="A36" s="437"/>
      <c r="B36" s="209">
        <f>YEAR('Key Gender Metrics'!E4)</f>
        <v>2024</v>
      </c>
      <c r="C36" s="211">
        <f>'Key Gender Metrics'!E24</f>
        <v>0.5</v>
      </c>
      <c r="D36" s="211">
        <f>'Key Gender Metrics'!E25</f>
        <v>0.25</v>
      </c>
      <c r="L36" s="263"/>
    </row>
    <row r="37" spans="1:12">
      <c r="A37" s="437" t="s">
        <v>756</v>
      </c>
      <c r="B37" s="209">
        <f>YEAR('Key Gender Metrics'!C4)</f>
        <v>2022</v>
      </c>
      <c r="C37" s="211">
        <f>'Key Gender Metrics'!C21</f>
        <v>0.5</v>
      </c>
      <c r="D37" s="211">
        <f>'Key Gender Metrics'!C25</f>
        <v>0.25</v>
      </c>
      <c r="L37" s="263"/>
    </row>
    <row r="38" spans="1:12">
      <c r="A38" s="437"/>
      <c r="B38" s="209">
        <f>YEAR('Key Gender Metrics'!D4)</f>
        <v>2023</v>
      </c>
      <c r="C38" s="211">
        <f>'Key Gender Metrics'!D21</f>
        <v>0.8</v>
      </c>
      <c r="D38" s="211">
        <f>'Key Gender Metrics'!D25</f>
        <v>0</v>
      </c>
      <c r="L38" s="263"/>
    </row>
    <row r="39" spans="1:12">
      <c r="A39" s="437"/>
      <c r="B39" s="209">
        <f>YEAR('Key Gender Metrics'!E4)</f>
        <v>2024</v>
      </c>
      <c r="C39" s="211">
        <f>'Key Gender Metrics'!E21</f>
        <v>0</v>
      </c>
      <c r="D39" s="211">
        <f>'Key Gender Metrics'!E25</f>
        <v>0.25</v>
      </c>
      <c r="L39" s="263"/>
    </row>
    <row r="40" spans="1:12">
      <c r="A40" s="264"/>
      <c r="L40" s="263"/>
    </row>
    <row r="41" spans="1:12">
      <c r="A41" s="264"/>
      <c r="L41" s="263"/>
    </row>
    <row r="42" spans="1:12">
      <c r="A42" s="264"/>
      <c r="L42" s="263"/>
    </row>
    <row r="43" spans="1:12">
      <c r="A43" s="264"/>
      <c r="L43" s="263"/>
    </row>
    <row r="44" spans="1:12">
      <c r="A44" s="264"/>
      <c r="L44" s="263"/>
    </row>
    <row r="45" spans="1:12">
      <c r="A45" s="264"/>
      <c r="L45" s="263"/>
    </row>
    <row r="46" spans="1:12">
      <c r="A46" s="265"/>
      <c r="B46" s="266"/>
      <c r="C46" s="266"/>
      <c r="D46" s="266"/>
      <c r="E46" s="266"/>
      <c r="F46" s="266"/>
      <c r="G46" s="266"/>
      <c r="H46" s="266"/>
      <c r="I46" s="266"/>
      <c r="J46" s="266"/>
      <c r="K46" s="266"/>
      <c r="L46" s="267"/>
    </row>
    <row r="48" spans="1:12">
      <c r="A48" s="268" t="s">
        <v>757</v>
      </c>
      <c r="B48" s="277"/>
      <c r="C48" s="277"/>
      <c r="D48" s="278"/>
      <c r="E48" s="261"/>
      <c r="F48" s="261"/>
      <c r="G48" s="261"/>
      <c r="H48" s="261"/>
      <c r="I48" s="261"/>
      <c r="J48" s="261"/>
      <c r="K48" s="261"/>
      <c r="L48" s="262"/>
    </row>
    <row r="49" spans="1:12">
      <c r="A49" s="180"/>
      <c r="B49" s="209">
        <f>YEAR('Key Gender Metrics'!C4)</f>
        <v>2022</v>
      </c>
      <c r="C49" s="209">
        <f>YEAR('Key Gender Metrics'!D4)</f>
        <v>2023</v>
      </c>
      <c r="D49" s="209">
        <f>YEAR('Key Gender Metrics'!E4)</f>
        <v>2024</v>
      </c>
      <c r="L49" s="263"/>
    </row>
    <row r="50" spans="1:12">
      <c r="A50" s="180" t="s">
        <v>749</v>
      </c>
      <c r="B50" s="212">
        <f>'Key Gender Metrics'!C28</f>
        <v>0</v>
      </c>
      <c r="C50" s="212">
        <f>'Key Gender Metrics'!D28</f>
        <v>0.6</v>
      </c>
      <c r="D50" s="212">
        <f>'Key Gender Metrics'!E28</f>
        <v>0.6</v>
      </c>
      <c r="L50" s="263"/>
    </row>
    <row r="51" spans="1:12">
      <c r="A51" s="180" t="s">
        <v>758</v>
      </c>
      <c r="B51" s="212">
        <f>'Key Gender Metrics'!C29</f>
        <v>0</v>
      </c>
      <c r="C51" s="212">
        <f>'Key Gender Metrics'!D29</f>
        <v>0.33333333333333331</v>
      </c>
      <c r="D51" s="212">
        <f>'Key Gender Metrics'!E29</f>
        <v>0.66666666666666663</v>
      </c>
      <c r="L51" s="263"/>
    </row>
    <row r="52" spans="1:12">
      <c r="A52" s="264"/>
      <c r="L52" s="263"/>
    </row>
    <row r="53" spans="1:12">
      <c r="A53" s="264"/>
      <c r="L53" s="263"/>
    </row>
    <row r="54" spans="1:12">
      <c r="A54" s="264"/>
      <c r="L54" s="263"/>
    </row>
    <row r="55" spans="1:12">
      <c r="A55" s="264"/>
      <c r="L55" s="263"/>
    </row>
    <row r="56" spans="1:12">
      <c r="A56" s="264"/>
      <c r="L56" s="263"/>
    </row>
    <row r="57" spans="1:12">
      <c r="A57" s="264"/>
      <c r="L57" s="263"/>
    </row>
    <row r="58" spans="1:12">
      <c r="A58" s="264"/>
      <c r="L58" s="263"/>
    </row>
    <row r="59" spans="1:12">
      <c r="A59" s="264"/>
      <c r="L59" s="263"/>
    </row>
    <row r="60" spans="1:12">
      <c r="A60" s="264"/>
      <c r="L60" s="263"/>
    </row>
    <row r="61" spans="1:12">
      <c r="A61" s="265"/>
      <c r="B61" s="266"/>
      <c r="C61" s="266"/>
      <c r="D61" s="266"/>
      <c r="E61" s="266"/>
      <c r="F61" s="266"/>
      <c r="G61" s="266"/>
      <c r="H61" s="266"/>
      <c r="I61" s="266"/>
      <c r="J61" s="266"/>
      <c r="K61" s="266"/>
      <c r="L61" s="267"/>
    </row>
    <row r="63" spans="1:12">
      <c r="A63" s="260" t="s">
        <v>759</v>
      </c>
      <c r="B63" s="277"/>
      <c r="C63" s="277"/>
      <c r="D63" s="278"/>
      <c r="E63" s="261"/>
      <c r="F63" s="261"/>
      <c r="G63" s="261"/>
      <c r="H63" s="261"/>
      <c r="I63" s="261"/>
      <c r="J63" s="261"/>
      <c r="K63" s="261"/>
      <c r="L63" s="262"/>
    </row>
    <row r="64" spans="1:12">
      <c r="A64" s="180"/>
      <c r="B64" s="209">
        <f>YEAR('Key Gender Metrics'!C4)</f>
        <v>2022</v>
      </c>
      <c r="C64" s="209">
        <f>YEAR('Key Gender Metrics'!D4)</f>
        <v>2023</v>
      </c>
      <c r="D64" s="209">
        <f>YEAR('Key Gender Metrics'!E4)</f>
        <v>2024</v>
      </c>
      <c r="L64" s="263"/>
    </row>
    <row r="65" spans="1:12" ht="28">
      <c r="A65" s="280" t="s">
        <v>760</v>
      </c>
      <c r="B65" s="229">
        <f>'Key Gender Metrics'!C34</f>
        <v>0.75892857142857151</v>
      </c>
      <c r="C65" s="209">
        <f>'Key Gender Metrics'!D34</f>
        <v>0.86363636363636365</v>
      </c>
      <c r="D65" s="209">
        <f>'Key Gender Metrics'!E34</f>
        <v>1.6666666666666667</v>
      </c>
      <c r="L65" s="263"/>
    </row>
    <row r="66" spans="1:12">
      <c r="A66" s="269"/>
      <c r="B66" s="270"/>
      <c r="C66" s="270"/>
      <c r="D66" s="270"/>
      <c r="L66" s="263"/>
    </row>
    <row r="67" spans="1:12">
      <c r="A67" s="269"/>
      <c r="B67" s="270"/>
      <c r="C67" s="270"/>
      <c r="D67" s="270"/>
      <c r="L67" s="263"/>
    </row>
    <row r="68" spans="1:12">
      <c r="A68" s="269"/>
      <c r="B68" s="270"/>
      <c r="C68" s="270"/>
      <c r="D68" s="270"/>
      <c r="L68" s="263"/>
    </row>
    <row r="69" spans="1:12">
      <c r="A69" s="269"/>
      <c r="B69" s="270"/>
      <c r="C69" s="270"/>
      <c r="D69" s="270"/>
      <c r="L69" s="263"/>
    </row>
    <row r="70" spans="1:12">
      <c r="A70" s="269"/>
      <c r="B70" s="270"/>
      <c r="C70" s="270"/>
      <c r="D70" s="270"/>
      <c r="L70" s="263"/>
    </row>
    <row r="71" spans="1:12">
      <c r="A71" s="269"/>
      <c r="B71" s="270"/>
      <c r="C71" s="270"/>
      <c r="D71" s="270"/>
      <c r="L71" s="263"/>
    </row>
    <row r="72" spans="1:12">
      <c r="A72" s="271"/>
      <c r="B72" s="272"/>
      <c r="C72" s="272"/>
      <c r="D72" s="272"/>
      <c r="E72" s="266"/>
      <c r="F72" s="266"/>
      <c r="G72" s="266"/>
      <c r="H72" s="266"/>
      <c r="I72" s="266"/>
      <c r="J72" s="266"/>
      <c r="K72" s="266"/>
      <c r="L72" s="267"/>
    </row>
    <row r="73" spans="1:12">
      <c r="A73" s="90"/>
    </row>
    <row r="74" spans="1:12">
      <c r="A74" s="260" t="s">
        <v>761</v>
      </c>
      <c r="B74" s="277"/>
      <c r="C74" s="278"/>
      <c r="D74" s="261"/>
      <c r="E74" s="261"/>
      <c r="F74" s="261"/>
      <c r="G74" s="261"/>
      <c r="H74" s="261"/>
      <c r="I74" s="261"/>
      <c r="J74" s="261"/>
      <c r="K74" s="261"/>
      <c r="L74" s="262"/>
    </row>
    <row r="75" spans="1:12">
      <c r="A75" s="434" t="s">
        <v>762</v>
      </c>
      <c r="B75" s="209">
        <f>YEAR('Key Gender Metrics'!C4)</f>
        <v>2022</v>
      </c>
      <c r="C75" s="211">
        <f>'Key Gender Metrics'!C46</f>
        <v>0.33333333333333331</v>
      </c>
      <c r="L75" s="263"/>
    </row>
    <row r="76" spans="1:12">
      <c r="A76" s="435"/>
      <c r="B76" s="209">
        <f>YEAR('Key Gender Metrics'!D4)</f>
        <v>2023</v>
      </c>
      <c r="C76" s="211">
        <f>'Key Gender Metrics'!D46</f>
        <v>0.4</v>
      </c>
      <c r="L76" s="263"/>
    </row>
    <row r="77" spans="1:12">
      <c r="A77" s="436"/>
      <c r="B77" s="209">
        <f>YEAR('Key Gender Metrics'!E4)</f>
        <v>2024</v>
      </c>
      <c r="C77" s="211">
        <f>'Key Gender Metrics'!E46</f>
        <v>0.4</v>
      </c>
      <c r="L77" s="263"/>
    </row>
    <row r="78" spans="1:12">
      <c r="A78" s="434" t="s">
        <v>763</v>
      </c>
      <c r="B78" s="209">
        <f>YEAR('Key Gender Metrics'!C4)</f>
        <v>2022</v>
      </c>
      <c r="C78" s="211">
        <f>'Key Gender Metrics'!C47</f>
        <v>0.33333333333333331</v>
      </c>
      <c r="L78" s="263"/>
    </row>
    <row r="79" spans="1:12">
      <c r="A79" s="435"/>
      <c r="B79" s="209">
        <f>YEAR('Key Gender Metrics'!D4)</f>
        <v>2023</v>
      </c>
      <c r="C79" s="211">
        <f>'Key Gender Metrics'!D47</f>
        <v>0.31818181818181818</v>
      </c>
      <c r="L79" s="263"/>
    </row>
    <row r="80" spans="1:12">
      <c r="A80" s="436"/>
      <c r="B80" s="209">
        <f>YEAR('Key Gender Metrics'!E4)</f>
        <v>2024</v>
      </c>
      <c r="C80" s="211">
        <f>'Key Gender Metrics'!E47</f>
        <v>0.34285714285714286</v>
      </c>
      <c r="L80" s="263"/>
    </row>
    <row r="81" spans="1:12">
      <c r="A81" s="264"/>
      <c r="L81" s="263"/>
    </row>
    <row r="82" spans="1:12">
      <c r="A82" s="264"/>
      <c r="L82" s="263"/>
    </row>
    <row r="83" spans="1:12">
      <c r="A83" s="264"/>
      <c r="L83" s="263"/>
    </row>
    <row r="84" spans="1:12">
      <c r="A84" s="264"/>
      <c r="L84" s="263"/>
    </row>
    <row r="85" spans="1:12">
      <c r="A85" s="264"/>
      <c r="L85" s="263"/>
    </row>
    <row r="86" spans="1:12">
      <c r="A86" s="264"/>
      <c r="L86" s="263"/>
    </row>
    <row r="87" spans="1:12">
      <c r="A87" s="264"/>
      <c r="L87" s="263"/>
    </row>
    <row r="88" spans="1:12">
      <c r="A88" s="265"/>
      <c r="B88" s="266"/>
      <c r="C88" s="266"/>
      <c r="D88" s="266"/>
      <c r="E88" s="266"/>
      <c r="F88" s="266"/>
      <c r="G88" s="266"/>
      <c r="H88" s="266"/>
      <c r="I88" s="266"/>
      <c r="J88" s="266"/>
      <c r="K88" s="266"/>
      <c r="L88" s="267"/>
    </row>
    <row r="90" spans="1:12">
      <c r="A90" s="260" t="s">
        <v>764</v>
      </c>
      <c r="B90" s="277"/>
      <c r="C90" s="277"/>
      <c r="D90" s="278"/>
      <c r="E90" s="261"/>
      <c r="F90" s="261"/>
      <c r="G90" s="261"/>
      <c r="H90" s="261"/>
      <c r="I90" s="261"/>
      <c r="J90" s="261"/>
      <c r="K90" s="261"/>
      <c r="L90" s="262"/>
    </row>
    <row r="91" spans="1:12">
      <c r="A91" s="180"/>
      <c r="B91" s="209">
        <f>YEAR('Key Gender Metrics'!C4)</f>
        <v>2022</v>
      </c>
      <c r="C91" s="209">
        <f>YEAR('Key Gender Metrics'!D4)</f>
        <v>2023</v>
      </c>
      <c r="D91" s="209">
        <f>YEAR('Key Gender Metrics'!E4)</f>
        <v>2024</v>
      </c>
      <c r="L91" s="263"/>
    </row>
    <row r="92" spans="1:12">
      <c r="A92" s="180" t="s">
        <v>765</v>
      </c>
      <c r="B92" s="180">
        <f>'Key Gender Metrics'!C52</f>
        <v>2</v>
      </c>
      <c r="C92" s="180">
        <f>'Key Gender Metrics'!D52</f>
        <v>2</v>
      </c>
      <c r="D92" s="180">
        <f>'Key Gender Metrics'!E52</f>
        <v>1.5</v>
      </c>
      <c r="L92" s="263"/>
    </row>
    <row r="93" spans="1:12">
      <c r="A93" s="264"/>
      <c r="L93" s="263"/>
    </row>
    <row r="94" spans="1:12">
      <c r="A94" s="264"/>
      <c r="L94" s="263"/>
    </row>
    <row r="95" spans="1:12">
      <c r="A95" s="264"/>
      <c r="L95" s="263"/>
    </row>
    <row r="96" spans="1:12">
      <c r="A96" s="264"/>
      <c r="L96" s="263"/>
    </row>
    <row r="97" spans="1:12">
      <c r="A97" s="264"/>
      <c r="L97" s="263"/>
    </row>
    <row r="98" spans="1:12">
      <c r="A98" s="264"/>
      <c r="L98" s="263"/>
    </row>
    <row r="99" spans="1:12">
      <c r="A99" s="265"/>
      <c r="B99" s="266"/>
      <c r="C99" s="266"/>
      <c r="D99" s="266"/>
      <c r="E99" s="266"/>
      <c r="F99" s="266"/>
      <c r="G99" s="266"/>
      <c r="H99" s="266"/>
      <c r="I99" s="266"/>
      <c r="J99" s="266"/>
      <c r="K99" s="266"/>
      <c r="L99" s="267"/>
    </row>
    <row r="101" spans="1:12">
      <c r="A101" s="260" t="s">
        <v>766</v>
      </c>
      <c r="B101" s="277"/>
      <c r="C101" s="277"/>
      <c r="D101" s="278"/>
      <c r="E101" s="261"/>
      <c r="F101" s="261"/>
      <c r="G101" s="261"/>
      <c r="H101" s="261"/>
      <c r="I101" s="261"/>
      <c r="J101" s="261"/>
      <c r="K101" s="261"/>
      <c r="L101" s="262"/>
    </row>
    <row r="102" spans="1:12">
      <c r="A102" s="180"/>
      <c r="B102" s="209">
        <f>YEAR('Key Gender Metrics'!C4)</f>
        <v>2022</v>
      </c>
      <c r="C102" s="209">
        <f>YEAR('Key Gender Metrics'!D4)</f>
        <v>2023</v>
      </c>
      <c r="D102" s="209">
        <f>YEAR('Key Gender Metrics'!E4)</f>
        <v>2024</v>
      </c>
      <c r="L102" s="263"/>
    </row>
    <row r="103" spans="1:12">
      <c r="A103" s="180" t="s">
        <v>767</v>
      </c>
      <c r="B103" s="180">
        <f>'Key Gender Metrics'!C55</f>
        <v>2000</v>
      </c>
      <c r="C103" s="180">
        <f>'Key Gender Metrics'!D55</f>
        <v>-1000</v>
      </c>
      <c r="D103" s="180">
        <f>'Key Gender Metrics'!E55</f>
        <v>0</v>
      </c>
      <c r="L103" s="263"/>
    </row>
    <row r="104" spans="1:12">
      <c r="A104" s="264"/>
      <c r="L104" s="263"/>
    </row>
    <row r="105" spans="1:12">
      <c r="A105" s="264"/>
      <c r="L105" s="263"/>
    </row>
    <row r="106" spans="1:12">
      <c r="A106" s="264"/>
      <c r="L106" s="263"/>
    </row>
    <row r="107" spans="1:12">
      <c r="A107" s="264"/>
      <c r="L107" s="263"/>
    </row>
    <row r="108" spans="1:12">
      <c r="A108" s="264"/>
      <c r="L108" s="263"/>
    </row>
    <row r="109" spans="1:12">
      <c r="A109" s="264"/>
      <c r="L109" s="263"/>
    </row>
    <row r="110" spans="1:12">
      <c r="A110" s="264"/>
      <c r="L110" s="263"/>
    </row>
    <row r="111" spans="1:12">
      <c r="A111" s="265"/>
      <c r="B111" s="266"/>
      <c r="C111" s="266"/>
      <c r="D111" s="266"/>
      <c r="E111" s="266"/>
      <c r="F111" s="266"/>
      <c r="G111" s="266"/>
      <c r="H111" s="266"/>
      <c r="I111" s="266"/>
      <c r="J111" s="266"/>
      <c r="K111" s="266"/>
      <c r="L111" s="267"/>
    </row>
    <row r="113" spans="1:12">
      <c r="A113" s="260" t="s">
        <v>768</v>
      </c>
      <c r="B113" s="277"/>
      <c r="C113" s="277"/>
      <c r="D113" s="277"/>
      <c r="E113" s="278"/>
      <c r="F113" s="261"/>
      <c r="G113" s="261"/>
      <c r="H113" s="261"/>
      <c r="I113" s="261"/>
      <c r="J113" s="261"/>
      <c r="K113" s="261"/>
      <c r="L113" s="262"/>
    </row>
    <row r="114" spans="1:12">
      <c r="A114" s="217"/>
      <c r="B114" s="218">
        <v>2022</v>
      </c>
      <c r="C114" s="218">
        <v>2023</v>
      </c>
      <c r="D114" s="218">
        <v>2024</v>
      </c>
      <c r="E114" s="218" t="s">
        <v>769</v>
      </c>
      <c r="L114" s="263"/>
    </row>
    <row r="115" spans="1:12">
      <c r="A115" s="216" t="str">
        <f>'Key Gender Metrics'!B31</f>
        <v>Grievance mechanism</v>
      </c>
      <c r="B115" s="219" t="str">
        <f>'Key Gender Metrics'!C31</f>
        <v>Not aligned</v>
      </c>
      <c r="C115" s="219" t="str">
        <f>'Key Gender Metrics'!D31</f>
        <v>Partially aligned</v>
      </c>
      <c r="D115" s="219" t="str">
        <f>'Key Gender Metrics'!E31</f>
        <v xml:space="preserve">Aligned </v>
      </c>
      <c r="E115" s="219" t="s">
        <v>439</v>
      </c>
      <c r="L115" s="263"/>
    </row>
    <row r="116" spans="1:12">
      <c r="A116" s="216" t="str">
        <f>'Key Gender Metrics'!B35</f>
        <v>Marketing policy</v>
      </c>
      <c r="B116" s="219" t="str">
        <f>'Key Gender Metrics'!C35</f>
        <v>No</v>
      </c>
      <c r="C116" s="219" t="str">
        <f>'Key Gender Metrics'!D35</f>
        <v>In progress</v>
      </c>
      <c r="D116" s="219" t="str">
        <f>'Key Gender Metrics'!E35</f>
        <v>Yes</v>
      </c>
      <c r="E116" s="219" t="str">
        <f>'Key Gender Metrics'!H35</f>
        <v>Yes</v>
      </c>
      <c r="L116" s="263"/>
    </row>
    <row r="117" spans="1:12" ht="26">
      <c r="A117" s="216" t="str">
        <f>'Key Gender Metrics'!B36</f>
        <v>Policy supporting parents and caregivers</v>
      </c>
      <c r="B117" s="219" t="str">
        <f>'Key Gender Metrics'!C36</f>
        <v>No</v>
      </c>
      <c r="C117" s="219" t="str">
        <f>'Key Gender Metrics'!D36</f>
        <v>Yes</v>
      </c>
      <c r="D117" s="219" t="str">
        <f>'Key Gender Metrics'!E36</f>
        <v>Yes</v>
      </c>
      <c r="E117" s="219" t="str">
        <f>'Key Gender Metrics'!H36</f>
        <v>Yes</v>
      </c>
      <c r="L117" s="263"/>
    </row>
    <row r="118" spans="1:12" ht="26">
      <c r="A118" s="216" t="str">
        <f>'Key Gender Metrics'!B37</f>
        <v>Nondiscrimination &amp; equal opportunity policy</v>
      </c>
      <c r="B118" s="219" t="str">
        <f>'Key Gender Metrics'!C37</f>
        <v>In progress</v>
      </c>
      <c r="C118" s="219" t="str">
        <f>'Key Gender Metrics'!D37</f>
        <v>Yes</v>
      </c>
      <c r="D118" s="219" t="str">
        <f>'Key Gender Metrics'!E37</f>
        <v>Yes</v>
      </c>
      <c r="E118" s="219" t="str">
        <f>'Key Gender Metrics'!H37</f>
        <v>Yes</v>
      </c>
      <c r="L118" s="263"/>
    </row>
    <row r="119" spans="1:12" ht="26">
      <c r="A119" s="216" t="str">
        <f>'Key Gender Metrics'!B38</f>
        <v>Gender-responsive risk assessments for employees</v>
      </c>
      <c r="B119" s="219" t="str">
        <f>'Key Gender Metrics'!C38</f>
        <v>Aligned and audited</v>
      </c>
      <c r="C119" s="219" t="str">
        <f>'Key Gender Metrics'!D38</f>
        <v>Aligned and audited</v>
      </c>
      <c r="D119" s="219" t="str">
        <f>'Key Gender Metrics'!E38</f>
        <v>Aligned and audited</v>
      </c>
      <c r="E119" s="219" t="s">
        <v>439</v>
      </c>
      <c r="L119" s="263"/>
    </row>
    <row r="120" spans="1:12" ht="26">
      <c r="A120" s="216" t="str">
        <f>'Key Gender Metrics'!B39</f>
        <v xml:space="preserve">Offers flexible work options for all employees </v>
      </c>
      <c r="B120" s="219" t="str">
        <f>'Key Gender Metrics'!C39</f>
        <v>Partially aligned</v>
      </c>
      <c r="C120" s="219" t="str">
        <f>'Key Gender Metrics'!D39</f>
        <v xml:space="preserve">Aligned </v>
      </c>
      <c r="D120" s="219" t="str">
        <f>'Key Gender Metrics'!E39</f>
        <v>Aligned and audited</v>
      </c>
      <c r="E120" s="219" t="s">
        <v>439</v>
      </c>
      <c r="L120" s="263"/>
    </row>
    <row r="121" spans="1:12" ht="46.5" customHeight="1">
      <c r="A121" s="216" t="s">
        <v>770</v>
      </c>
      <c r="B121" s="219" t="str">
        <f>'Key Gender Metrics'!C40</f>
        <v>No</v>
      </c>
      <c r="C121" s="219" t="str">
        <f>'Key Gender Metrics'!D40</f>
        <v>In progress</v>
      </c>
      <c r="D121" s="219" t="str">
        <f>'Key Gender Metrics'!E40</f>
        <v>In progress</v>
      </c>
      <c r="E121" s="219" t="str">
        <f>'Key Gender Metrics'!H40</f>
        <v>Yes</v>
      </c>
      <c r="L121" s="263"/>
    </row>
    <row r="122" spans="1:12" ht="39">
      <c r="A122" s="216" t="s">
        <v>771</v>
      </c>
      <c r="B122" s="219" t="str">
        <f>'Key Gender Metrics'!C41</f>
        <v>Not aligned</v>
      </c>
      <c r="C122" s="219" t="str">
        <f>'Key Gender Metrics'!D41</f>
        <v>Partially aligned</v>
      </c>
      <c r="D122" s="219" t="str">
        <f>'Key Gender Metrics'!E41</f>
        <v xml:space="preserve">Aligned </v>
      </c>
      <c r="E122" s="219" t="s">
        <v>439</v>
      </c>
      <c r="L122" s="263"/>
    </row>
    <row r="123" spans="1:12" ht="52">
      <c r="A123" s="216" t="s">
        <v>772</v>
      </c>
      <c r="B123" s="219" t="str">
        <f>'Key Gender Metrics'!C42</f>
        <v>Partially aligned</v>
      </c>
      <c r="C123" s="219" t="str">
        <f>'Key Gender Metrics'!D42</f>
        <v>Partially aligned</v>
      </c>
      <c r="D123" s="219" t="str">
        <f>'Key Gender Metrics'!E42</f>
        <v xml:space="preserve">Aligned </v>
      </c>
      <c r="E123" s="219" t="s">
        <v>439</v>
      </c>
      <c r="L123" s="263"/>
    </row>
    <row r="124" spans="1:12" ht="26">
      <c r="A124" s="216" t="str">
        <f>'Key Gender Metrics'!B43</f>
        <v>Has undertaken a gender audit/evaluation/assessment</v>
      </c>
      <c r="B124" s="219" t="str">
        <f>'Key Gender Metrics'!C43</f>
        <v xml:space="preserve">Aligned </v>
      </c>
      <c r="C124" s="219" t="str">
        <f>'Key Gender Metrics'!D43</f>
        <v xml:space="preserve">Aligned </v>
      </c>
      <c r="D124" s="219" t="str">
        <f>'Key Gender Metrics'!E43</f>
        <v>Aligned and audited</v>
      </c>
      <c r="E124" s="219" t="s">
        <v>439</v>
      </c>
      <c r="F124" s="266"/>
      <c r="G124" s="266"/>
      <c r="H124" s="266"/>
      <c r="I124" s="266"/>
      <c r="J124" s="266"/>
      <c r="K124" s="266"/>
      <c r="L124" s="267"/>
    </row>
    <row r="126" spans="1:12">
      <c r="A126" s="260" t="s">
        <v>773</v>
      </c>
      <c r="B126" s="277"/>
      <c r="C126" s="277"/>
      <c r="D126" s="277"/>
      <c r="E126" s="278"/>
      <c r="F126" s="261"/>
      <c r="G126" s="261"/>
      <c r="H126" s="261"/>
      <c r="I126" s="261"/>
      <c r="J126" s="261"/>
      <c r="K126" s="261"/>
      <c r="L126" s="262"/>
    </row>
    <row r="127" spans="1:12">
      <c r="A127" s="279"/>
      <c r="B127" s="179">
        <v>2022</v>
      </c>
      <c r="C127" s="179">
        <v>2023</v>
      </c>
      <c r="D127" s="179">
        <v>2024</v>
      </c>
      <c r="E127" s="281" t="s">
        <v>769</v>
      </c>
      <c r="L127" s="263"/>
    </row>
    <row r="128" spans="1:12" ht="52">
      <c r="A128" s="216" t="str">
        <f>'Key Gender Metrics'!B48</f>
        <v>Financial products or services are offered that enhance the wellbeing of women/girls and/or drive gender equity</v>
      </c>
      <c r="B128" s="219" t="str">
        <f>'Key Gender Metrics'!C48</f>
        <v>Partially aligned</v>
      </c>
      <c r="C128" s="219" t="str">
        <f>'Key Gender Metrics'!D48</f>
        <v xml:space="preserve">Aligned </v>
      </c>
      <c r="D128" s="219" t="str">
        <f>'Key Gender Metrics'!E48</f>
        <v>Aligned and audited</v>
      </c>
      <c r="E128" s="219" t="s">
        <v>439</v>
      </c>
      <c r="L128" s="263"/>
    </row>
    <row r="129" spans="1:12" ht="39">
      <c r="A129" s="216" t="str">
        <f>'Key Gender Metrics'!B57</f>
        <v>Training for women borrowers on loan utilization, repayment plan and use of technology</v>
      </c>
      <c r="B129" s="219" t="str">
        <f>'Key Gender Metrics'!C57</f>
        <v>Not aligned</v>
      </c>
      <c r="C129" s="219" t="str">
        <f>'Key Gender Metrics'!D57</f>
        <v>Partially aligned</v>
      </c>
      <c r="D129" s="219" t="str">
        <f>'Key Gender Metrics'!E57</f>
        <v>Partially aligned</v>
      </c>
      <c r="E129" s="219" t="s">
        <v>439</v>
      </c>
      <c r="L129" s="263"/>
    </row>
    <row r="130" spans="1:12" ht="39">
      <c r="A130" s="216" t="str">
        <f>'Key Gender Metrics'!B59</f>
        <v>Do you have a score card? Is gender lens integrated in it? Is it periodically monitored?</v>
      </c>
      <c r="B130" s="219" t="str">
        <f>'Key Gender Metrics'!C59</f>
        <v>Partially aligned</v>
      </c>
      <c r="C130" s="219" t="str">
        <f>'Key Gender Metrics'!D59</f>
        <v>Partially aligned</v>
      </c>
      <c r="D130" s="219" t="str">
        <f>'Key Gender Metrics'!E59</f>
        <v>Partially aligned</v>
      </c>
      <c r="E130" s="219" t="s">
        <v>439</v>
      </c>
      <c r="L130" s="263"/>
    </row>
    <row r="131" spans="1:12" ht="26">
      <c r="A131" s="216" t="str">
        <f>'Key Gender Metrics'!B60</f>
        <v>Existence of flexible loan repayment program such as flexible credit lines</v>
      </c>
      <c r="B131" s="219" t="str">
        <f>'Key Gender Metrics'!C60</f>
        <v>Not aligned</v>
      </c>
      <c r="C131" s="219" t="str">
        <f>'Key Gender Metrics'!D60</f>
        <v>Not aligned</v>
      </c>
      <c r="D131" s="219" t="str">
        <f>'Key Gender Metrics'!E60</f>
        <v>Not aligned</v>
      </c>
      <c r="E131" s="219" t="s">
        <v>439</v>
      </c>
      <c r="F131" s="266"/>
      <c r="G131" s="266"/>
      <c r="H131" s="266"/>
      <c r="I131" s="266"/>
      <c r="J131" s="266"/>
      <c r="K131" s="266"/>
      <c r="L131" s="267"/>
    </row>
  </sheetData>
  <mergeCells count="8">
    <mergeCell ref="A4:A6"/>
    <mergeCell ref="A7:A9"/>
    <mergeCell ref="A75:A77"/>
    <mergeCell ref="A78:A80"/>
    <mergeCell ref="A34:A36"/>
    <mergeCell ref="A37:A39"/>
    <mergeCell ref="A10:A12"/>
    <mergeCell ref="A13:A15"/>
  </mergeCells>
  <pageMargins left="0.7" right="0.7" top="0.75" bottom="0.75" header="0.3" footer="0.3"/>
  <pageSetup paperSize="9" scale="4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8B6FA-FF16-466B-A33D-7AD5EC497C95}">
  <sheetPr>
    <tabColor rgb="FF9CA71C"/>
  </sheetPr>
  <dimension ref="A1:C25"/>
  <sheetViews>
    <sheetView showGridLines="0" view="pageBreakPreview" zoomScale="93" zoomScaleNormal="100" zoomScaleSheetLayoutView="218" workbookViewId="0"/>
  </sheetViews>
  <sheetFormatPr baseColWidth="10" defaultColWidth="8.83203125" defaultRowHeight="13"/>
  <cols>
    <col min="1" max="1" width="29" style="83" customWidth="1"/>
    <col min="2" max="2" width="14.5" customWidth="1"/>
    <col min="3" max="3" width="11.5" customWidth="1"/>
  </cols>
  <sheetData>
    <row r="1" spans="1:3">
      <c r="A1" s="247" t="e" vm="1">
        <v>#VALUE!</v>
      </c>
      <c r="B1" s="83"/>
    </row>
    <row r="2" spans="1:3" ht="28">
      <c r="A2" s="215"/>
      <c r="B2" s="220" t="str">
        <f>"Progress as on " &amp; TEXT('Key Gender Metrics'!$E$4, "mmmm yyyy")</f>
        <v>Progress as on December 2024</v>
      </c>
      <c r="C2" s="221" t="s">
        <v>774</v>
      </c>
    </row>
    <row r="3" spans="1:3" ht="28">
      <c r="A3" s="215" t="str">
        <f>'Key Gender Metrics'!B7 &amp; "(Target 40%)"</f>
        <v>Percentage of women employees(Target 40%)</v>
      </c>
      <c r="B3" s="211">
        <f>MIN('Key Gender Metrics'!E7/'Key Gender Metrics'!H7,1)</f>
        <v>0.77586206896551724</v>
      </c>
      <c r="C3" s="211">
        <f t="shared" ref="C3:C9" si="0">100%-B3</f>
        <v>0.22413793103448276</v>
      </c>
    </row>
    <row r="4" spans="1:3" ht="28">
      <c r="A4" s="215" t="str">
        <f>'Key Gender Metrics'!B8 &amp; "(Target 30%)"</f>
        <v>Percentage of women managers(Target 30%)</v>
      </c>
      <c r="B4" s="211">
        <f>MIN('Key Gender Metrics'!E8/'Key Gender Metrics'!H8,1)</f>
        <v>0.55555555555555558</v>
      </c>
      <c r="C4" s="211">
        <f t="shared" si="0"/>
        <v>0.44444444444444442</v>
      </c>
    </row>
    <row r="5" spans="1:3" ht="28">
      <c r="A5" s="215" t="str">
        <f>'Key Gender Metrics'!B9 &amp; "(Target 30%)"</f>
        <v>Percentage of women on Board(Target 30%)</v>
      </c>
      <c r="B5" s="211">
        <f>MIN('Key Gender Metrics'!E9/'Key Gender Metrics'!H9,1)</f>
        <v>0.83333333333333337</v>
      </c>
      <c r="C5" s="211">
        <f t="shared" si="0"/>
        <v>0.16666666666666663</v>
      </c>
    </row>
    <row r="6" spans="1:3" ht="28">
      <c r="A6" s="215" t="str">
        <f>'Key Gender Metrics'!B10 &amp; "(Target 30%)"</f>
        <v>Percentage of women on executive teams(Target 30%)</v>
      </c>
      <c r="B6" s="211">
        <f>MIN('Key Gender Metrics'!E10/'Key Gender Metrics'!H10,1)</f>
        <v>1</v>
      </c>
      <c r="C6" s="211">
        <f t="shared" si="0"/>
        <v>0</v>
      </c>
    </row>
    <row r="7" spans="1:3" ht="28">
      <c r="A7" s="215" t="str">
        <f>'Key Gender Metrics'!B11 &amp; "(Target 30%)"</f>
        <v>Percentage of women in senior management(Target 30%)</v>
      </c>
      <c r="B7" s="211">
        <f>MIN('Key Gender Metrics'!E11/'Key Gender Metrics'!H11,1)</f>
        <v>0.66666666666666674</v>
      </c>
      <c r="C7" s="211">
        <f t="shared" si="0"/>
        <v>0.33333333333333326</v>
      </c>
    </row>
    <row r="8" spans="1:3" ht="107" customHeight="1">
      <c r="A8" s="215" t="str">
        <f>'Key Gender Metrics'!B12 &amp; "(Target 30%)"</f>
        <v>Percentage of women in middle management(Target 30%)</v>
      </c>
      <c r="B8" s="211">
        <f>MIN('Key Gender Metrics'!E12/'Key Gender Metrics'!H12,1)</f>
        <v>1</v>
      </c>
      <c r="C8" s="211">
        <f t="shared" si="0"/>
        <v>0</v>
      </c>
    </row>
    <row r="9" spans="1:3" ht="28">
      <c r="A9" s="215" t="str">
        <f>'Key Gender Metrics'!B13 &amp; "(Target 30%)"</f>
        <v>Percentage of women in non-managerial staff(Target 30%)</v>
      </c>
      <c r="B9" s="211">
        <f>MIN('Key Gender Metrics'!E13/'Key Gender Metrics'!H13,1)</f>
        <v>1</v>
      </c>
      <c r="C9" s="211">
        <f t="shared" si="0"/>
        <v>0</v>
      </c>
    </row>
    <row r="10" spans="1:3" ht="28">
      <c r="A10" s="215"/>
      <c r="B10" s="220" t="str">
        <f>"Progress as on " &amp; TEXT('Key Gender Metrics'!$E$4, "mmmm yyyy")</f>
        <v>Progress as on December 2024</v>
      </c>
      <c r="C10" s="221" t="s">
        <v>774</v>
      </c>
    </row>
    <row r="11" spans="1:3" ht="28">
      <c r="A11" s="215" t="str">
        <f>'Key Gender Metrics'!B18 &amp; "(Target 1)"</f>
        <v>Average salary ratio-women: men(Target 1)</v>
      </c>
      <c r="B11" s="212">
        <f>MIN('Key Gender Metrics'!E18/'Key Gender Metrics'!H18,1)</f>
        <v>0.84444444444444455</v>
      </c>
      <c r="C11" s="211">
        <f>100%-B11</f>
        <v>0.15555555555555545</v>
      </c>
    </row>
    <row r="12" spans="1:3" ht="28">
      <c r="A12" s="215" t="str">
        <f>'Key Gender Metrics'!B20 &amp; "(Target 50%)"</f>
        <v>Percentage of women new hires(Target 50%)</v>
      </c>
      <c r="B12" s="212">
        <f>MIN('Key Gender Metrics'!E20/'Key Gender Metrics'!H20,1)</f>
        <v>0</v>
      </c>
      <c r="C12" s="211">
        <f>100%-B12</f>
        <v>1</v>
      </c>
    </row>
    <row r="13" spans="1:3" ht="42">
      <c r="A13" s="215" t="str">
        <f>'Key Gender Metrics'!B23</f>
        <v>Ratio of women is to men promoted to senior management in past 2 years</v>
      </c>
      <c r="B13" s="212">
        <f>MIN('Key Gender Metrics'!E23/'Key Gender Metrics'!H23,1)</f>
        <v>0</v>
      </c>
      <c r="C13" s="211">
        <f>100%-B13</f>
        <v>1</v>
      </c>
    </row>
    <row r="14" spans="1:3" ht="42">
      <c r="A14" s="215" t="str">
        <f>'Key Gender Metrics'!B26</f>
        <v>Ratio of women is to men promoted to middle management in past 2 years</v>
      </c>
      <c r="B14" s="212">
        <f>MIN('Key Gender Metrics'!E26/'Key Gender Metrics'!H26,1)</f>
        <v>1</v>
      </c>
      <c r="C14" s="211">
        <f>100%-B14</f>
        <v>0</v>
      </c>
    </row>
    <row r="15" spans="1:3" ht="28">
      <c r="A15" s="215"/>
      <c r="B15" s="220" t="str">
        <f>"Progress as on " &amp; TEXT('Key Gender Metrics'!$E$4, "mmmm yyyy")</f>
        <v>Progress as on December 2024</v>
      </c>
      <c r="C15" s="221" t="s">
        <v>774</v>
      </c>
    </row>
    <row r="16" spans="1:3" ht="39.5" customHeight="1">
      <c r="A16" s="215" t="str">
        <f>'Key Gender Metrics'!B28 &amp; "(Target 90%)"</f>
        <v>Percentage of women who worked for 12 months after returning from parental leave(Target 90%)</v>
      </c>
      <c r="B16" s="212">
        <f>MIN('Key Gender Metrics'!E28/'Key Gender Metrics'!H28,1)</f>
        <v>0.66666666666666663</v>
      </c>
      <c r="C16" s="211">
        <f>100%-B16</f>
        <v>0.33333333333333337</v>
      </c>
    </row>
    <row r="17" spans="1:3" ht="37" customHeight="1">
      <c r="A17" s="215" t="str">
        <f>'Key Gender Metrics'!B29 &amp; "(Target 90%)"</f>
        <v>Percentage of men who worked for 12 months after returning from parental leave(Target 90%)</v>
      </c>
      <c r="B17" s="212">
        <f>MIN('Key Gender Metrics'!E29/'Key Gender Metrics'!H29,1)</f>
        <v>0.7407407407407407</v>
      </c>
      <c r="C17" s="211">
        <f>100%-B17</f>
        <v>0.2592592592592593</v>
      </c>
    </row>
    <row r="18" spans="1:3" ht="28">
      <c r="A18" s="215"/>
      <c r="B18" s="220" t="str">
        <f>"Progress as on " &amp; TEXT('Key Gender Metrics'!$E$4, "mmmm yyyy")</f>
        <v>Progress as on December 2024</v>
      </c>
      <c r="C18" s="221" t="s">
        <v>774</v>
      </c>
    </row>
    <row r="19" spans="1:3" ht="28">
      <c r="A19" s="215" t="str">
        <f>'Key Gender Metrics'!B32 &amp; "(Target 40%)"</f>
        <v>Percentage of women loan officers(Target 40%)</v>
      </c>
      <c r="B19" s="212">
        <f>MIN('Key Gender Metrics'!E32/'Key Gender Metrics'!H32,1)</f>
        <v>0.83333333333333326</v>
      </c>
      <c r="C19" s="211">
        <f>100%-B19</f>
        <v>0.16666666666666674</v>
      </c>
    </row>
    <row r="20" spans="1:3" ht="42">
      <c r="A20" s="215" t="str">
        <f>'Key Gender Metrics'!B33 &amp; "(Target 40%)"</f>
        <v>Percentage of women at underrepresented levels(Target 40%)</v>
      </c>
      <c r="B20" s="212">
        <f>MIN('Key Gender Metrics'!E33/'Key Gender Metrics'!H33,1)</f>
        <v>0.45454545454545453</v>
      </c>
      <c r="C20" s="211">
        <f>100%-B20</f>
        <v>0.54545454545454541</v>
      </c>
    </row>
    <row r="21" spans="1:3" ht="28">
      <c r="A21" s="215" t="str">
        <f>'Key Gender Metrics'!B34 &amp; "(Target 40%)"</f>
        <v>Ratio of average hours of training of women: men(Target 40%)</v>
      </c>
      <c r="B21" s="212">
        <f>MIN('Key Gender Metrics'!E33/'Key Gender Metrics'!H34,1)</f>
        <v>0.18181818181818182</v>
      </c>
      <c r="C21" s="211">
        <f>100%-B21</f>
        <v>0.81818181818181812</v>
      </c>
    </row>
    <row r="22" spans="1:3" ht="28">
      <c r="A22" s="215"/>
      <c r="B22" s="220" t="str">
        <f>"Progress as on " &amp; TEXT('Key Gender Metrics'!$E$4, "mmmm yyyy")</f>
        <v>Progress as on December 2024</v>
      </c>
      <c r="C22" s="221" t="s">
        <v>774</v>
      </c>
    </row>
    <row r="23" spans="1:3" ht="42">
      <c r="A23" s="215" t="str">
        <f>'Key Gender Metrics'!B46 &amp; "(Target 50%)"</f>
        <v>Percentage of loans approved for businesses owned by women(Target 50%)</v>
      </c>
      <c r="B23" s="212">
        <f>MIN('Key Gender Metrics'!E46/'Key Gender Metrics'!H46, 1)</f>
        <v>0.8</v>
      </c>
      <c r="C23" s="211">
        <f>100%-B23</f>
        <v>0.19999999999999996</v>
      </c>
    </row>
    <row r="24" spans="1:3" ht="28">
      <c r="A24" s="215" t="str">
        <f>'Key Gender Metrics'!B47 &amp; "(Target 50%)"</f>
        <v>Percentage of loan proceeds for individual women(Target 50%)</v>
      </c>
      <c r="B24" s="212">
        <f>MIN('Key Gender Metrics'!E47/'Key Gender Metrics'!H47, 1)</f>
        <v>0.68571428571428572</v>
      </c>
      <c r="C24" s="211">
        <f>100%-B24</f>
        <v>0.31428571428571428</v>
      </c>
    </row>
    <row r="25" spans="1:3" ht="42">
      <c r="A25" s="215" t="str">
        <f>'Key Gender Metrics'!B58 &amp; "(Target 30%)"</f>
        <v>Percentage of women loan officers hired in last 12 months(Target 30%)</v>
      </c>
      <c r="B25" s="212" t="e">
        <f>MIN('Key Gender Metrics'!E58/'Key Gender Metrics'!H58,1)</f>
        <v>#DIV/0!</v>
      </c>
      <c r="C25" s="211" t="e">
        <f>100%-B25</f>
        <v>#DIV/0!</v>
      </c>
    </row>
  </sheetData>
  <pageMargins left="0.7" right="0.7" top="0.75" bottom="0.75" header="0.3" footer="0.3"/>
  <pageSetup paperSize="9" scale="7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734BC-4FD1-834C-BDFD-674336A36B8A}">
  <sheetPr>
    <tabColor rgb="FFC6CCA1"/>
  </sheetPr>
  <dimension ref="A1:B17"/>
  <sheetViews>
    <sheetView topLeftCell="A6" zoomScale="94" zoomScaleNormal="141" workbookViewId="0">
      <selection activeCell="A6" sqref="A6"/>
    </sheetView>
  </sheetViews>
  <sheetFormatPr baseColWidth="10" defaultColWidth="12.5" defaultRowHeight="15"/>
  <cols>
    <col min="1" max="1" width="16.5" style="250" customWidth="1"/>
    <col min="2" max="2" width="150" style="250" customWidth="1"/>
    <col min="3" max="16384" width="12.5" style="250"/>
  </cols>
  <sheetData>
    <row r="1" spans="1:2">
      <c r="A1" s="248" t="e" vm="1">
        <v>#VALUE!</v>
      </c>
      <c r="B1" s="249"/>
    </row>
    <row r="2" spans="1:2">
      <c r="A2" s="438" t="s">
        <v>775</v>
      </c>
      <c r="B2" s="439"/>
    </row>
    <row r="3" spans="1:2" ht="28" customHeight="1">
      <c r="A3" s="440" t="s">
        <v>776</v>
      </c>
      <c r="B3" s="441"/>
    </row>
    <row r="4" spans="1:2" ht="105">
      <c r="A4" s="251" t="s">
        <v>77</v>
      </c>
      <c r="B4" s="252" t="s">
        <v>777</v>
      </c>
    </row>
    <row r="5" spans="1:2" ht="118">
      <c r="A5" s="253" t="s">
        <v>89</v>
      </c>
      <c r="B5" s="252" t="s">
        <v>778</v>
      </c>
    </row>
    <row r="6" spans="1:2" ht="131">
      <c r="A6" s="253" t="s">
        <v>109</v>
      </c>
      <c r="B6" s="252" t="s">
        <v>779</v>
      </c>
    </row>
    <row r="7" spans="1:2" ht="144">
      <c r="A7" s="254" t="s">
        <v>780</v>
      </c>
      <c r="B7" s="255" t="s">
        <v>781</v>
      </c>
    </row>
    <row r="8" spans="1:2">
      <c r="A8" s="256"/>
      <c r="B8" s="257"/>
    </row>
    <row r="9" spans="1:2">
      <c r="A9" s="442" t="s">
        <v>322</v>
      </c>
      <c r="B9" s="443"/>
    </row>
    <row r="10" spans="1:2" ht="27">
      <c r="A10" s="251" t="s">
        <v>388</v>
      </c>
      <c r="B10" s="252" t="s">
        <v>782</v>
      </c>
    </row>
    <row r="11" spans="1:2" ht="27">
      <c r="A11" s="251" t="s">
        <v>338</v>
      </c>
      <c r="B11" s="252" t="s">
        <v>783</v>
      </c>
    </row>
    <row r="12" spans="1:2" ht="27">
      <c r="A12" s="258" t="s">
        <v>349</v>
      </c>
      <c r="B12" s="255" t="s">
        <v>784</v>
      </c>
    </row>
    <row r="13" spans="1:2">
      <c r="A13" s="259"/>
      <c r="B13" s="259"/>
    </row>
    <row r="14" spans="1:2">
      <c r="A14" s="442" t="s">
        <v>323</v>
      </c>
      <c r="B14" s="443"/>
    </row>
    <row r="15" spans="1:2" ht="27">
      <c r="A15" s="251" t="s">
        <v>524</v>
      </c>
      <c r="B15" s="252" t="s">
        <v>785</v>
      </c>
    </row>
    <row r="16" spans="1:2" ht="27">
      <c r="A16" s="251" t="s">
        <v>548</v>
      </c>
      <c r="B16" s="252" t="s">
        <v>786</v>
      </c>
    </row>
    <row r="17" spans="1:2">
      <c r="A17" s="258" t="s">
        <v>537</v>
      </c>
      <c r="B17" s="255" t="s">
        <v>787</v>
      </c>
    </row>
  </sheetData>
  <mergeCells count="4">
    <mergeCell ref="A2:B2"/>
    <mergeCell ref="A3:B3"/>
    <mergeCell ref="A9:B9"/>
    <mergeCell ref="A14:B14"/>
  </mergeCells>
  <pageMargins left="0.7" right="0.7" top="0.75" bottom="0.75" header="0.3" footer="0.3"/>
  <pageSetup paperSize="9" scale="46"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72AFD-90C0-344D-9070-8B95BD6DB1CB}">
  <sheetPr>
    <tabColor rgb="FFC6CCA1"/>
  </sheetPr>
  <dimension ref="A1:B17"/>
  <sheetViews>
    <sheetView topLeftCell="A11" zoomScaleNormal="100" zoomScaleSheetLayoutView="161" workbookViewId="0">
      <selection activeCell="A11" sqref="A11"/>
    </sheetView>
  </sheetViews>
  <sheetFormatPr baseColWidth="10" defaultColWidth="10.83203125" defaultRowHeight="15"/>
  <cols>
    <col min="1" max="1" width="16.5" style="250" customWidth="1"/>
    <col min="2" max="2" width="150" style="250" customWidth="1"/>
    <col min="3" max="16384" width="10.83203125" style="250"/>
  </cols>
  <sheetData>
    <row r="1" spans="1:2">
      <c r="A1" s="248" t="e" vm="1">
        <v>#VALUE!</v>
      </c>
      <c r="B1" s="249"/>
    </row>
    <row r="2" spans="1:2">
      <c r="A2" s="438" t="s">
        <v>775</v>
      </c>
      <c r="B2" s="439"/>
    </row>
    <row r="3" spans="1:2" ht="29" customHeight="1">
      <c r="A3" s="440" t="s">
        <v>776</v>
      </c>
      <c r="B3" s="439"/>
    </row>
    <row r="4" spans="1:2" ht="105">
      <c r="A4" s="251" t="s">
        <v>77</v>
      </c>
      <c r="B4" s="252" t="s">
        <v>777</v>
      </c>
    </row>
    <row r="5" spans="1:2" ht="118">
      <c r="A5" s="253" t="s">
        <v>89</v>
      </c>
      <c r="B5" s="252" t="s">
        <v>778</v>
      </c>
    </row>
    <row r="6" spans="1:2" ht="131">
      <c r="A6" s="253" t="s">
        <v>109</v>
      </c>
      <c r="B6" s="252" t="s">
        <v>779</v>
      </c>
    </row>
    <row r="7" spans="1:2" ht="144">
      <c r="A7" s="254" t="s">
        <v>780</v>
      </c>
      <c r="B7" s="255" t="s">
        <v>781</v>
      </c>
    </row>
    <row r="8" spans="1:2">
      <c r="A8" s="256"/>
      <c r="B8" s="257"/>
    </row>
    <row r="9" spans="1:2">
      <c r="A9" s="442" t="s">
        <v>322</v>
      </c>
      <c r="B9" s="443"/>
    </row>
    <row r="10" spans="1:2" ht="27">
      <c r="A10" s="251" t="s">
        <v>388</v>
      </c>
      <c r="B10" s="252" t="s">
        <v>782</v>
      </c>
    </row>
    <row r="11" spans="1:2" ht="27">
      <c r="A11" s="251" t="s">
        <v>338</v>
      </c>
      <c r="B11" s="252" t="s">
        <v>783</v>
      </c>
    </row>
    <row r="12" spans="1:2" ht="27">
      <c r="A12" s="258" t="s">
        <v>349</v>
      </c>
      <c r="B12" s="255" t="s">
        <v>784</v>
      </c>
    </row>
    <row r="13" spans="1:2">
      <c r="A13" s="259"/>
      <c r="B13" s="259"/>
    </row>
    <row r="14" spans="1:2">
      <c r="A14" s="442" t="s">
        <v>323</v>
      </c>
      <c r="B14" s="443"/>
    </row>
    <row r="15" spans="1:2" ht="27">
      <c r="A15" s="251" t="s">
        <v>524</v>
      </c>
      <c r="B15" s="252" t="s">
        <v>785</v>
      </c>
    </row>
    <row r="16" spans="1:2" ht="27">
      <c r="A16" s="251" t="s">
        <v>548</v>
      </c>
      <c r="B16" s="252" t="s">
        <v>786</v>
      </c>
    </row>
    <row r="17" spans="1:2">
      <c r="A17" s="258" t="s">
        <v>537</v>
      </c>
      <c r="B17" s="255" t="s">
        <v>787</v>
      </c>
    </row>
  </sheetData>
  <mergeCells count="4">
    <mergeCell ref="A2:B2"/>
    <mergeCell ref="A3:B3"/>
    <mergeCell ref="A9:B9"/>
    <mergeCell ref="A14:B14"/>
  </mergeCells>
  <pageMargins left="0.7" right="0.7" top="0.75" bottom="0.75" header="0.3" footer="0.3"/>
  <pageSetup paperSize="9" scale="46"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3D050-B675-456C-B5BB-9FCC998F827A}">
  <sheetPr codeName="Sheet6">
    <tabColor rgb="FFC6CCA1"/>
  </sheetPr>
  <dimension ref="A1:H23"/>
  <sheetViews>
    <sheetView workbookViewId="0"/>
  </sheetViews>
  <sheetFormatPr baseColWidth="10" defaultColWidth="8.83203125" defaultRowHeight="13"/>
  <sheetData>
    <row r="1" spans="1:8">
      <c r="A1" s="90" t="s">
        <v>788</v>
      </c>
      <c r="D1" s="90" t="s">
        <v>254</v>
      </c>
      <c r="H1" s="90" t="s">
        <v>77</v>
      </c>
    </row>
    <row r="2" spans="1:8">
      <c r="D2" s="90" t="s">
        <v>252</v>
      </c>
      <c r="H2" s="90" t="s">
        <v>89</v>
      </c>
    </row>
    <row r="3" spans="1:8">
      <c r="A3" s="329" t="s">
        <v>117</v>
      </c>
      <c r="D3" s="90" t="s">
        <v>253</v>
      </c>
      <c r="H3" s="90" t="s">
        <v>109</v>
      </c>
    </row>
    <row r="4" spans="1:8">
      <c r="A4" s="90" t="s">
        <v>127</v>
      </c>
      <c r="H4" s="90" t="s">
        <v>83</v>
      </c>
    </row>
    <row r="5" spans="1:8">
      <c r="A5" s="90" t="s">
        <v>130</v>
      </c>
      <c r="D5" s="90" t="s">
        <v>789</v>
      </c>
    </row>
    <row r="6" spans="1:8">
      <c r="D6" s="90" t="s">
        <v>247</v>
      </c>
    </row>
    <row r="7" spans="1:8">
      <c r="A7" s="329" t="s">
        <v>119</v>
      </c>
      <c r="D7" s="90" t="s">
        <v>248</v>
      </c>
    </row>
    <row r="8" spans="1:8">
      <c r="A8" s="90" t="s">
        <v>128</v>
      </c>
      <c r="D8" s="90" t="s">
        <v>249</v>
      </c>
    </row>
    <row r="9" spans="1:8">
      <c r="A9" s="90" t="s">
        <v>131</v>
      </c>
      <c r="D9" s="90" t="s">
        <v>261</v>
      </c>
    </row>
    <row r="10" spans="1:8">
      <c r="A10" s="90" t="s">
        <v>133</v>
      </c>
    </row>
    <row r="11" spans="1:8">
      <c r="A11" s="330" t="s">
        <v>139</v>
      </c>
    </row>
    <row r="12" spans="1:8">
      <c r="A12" s="90" t="s">
        <v>135</v>
      </c>
      <c r="D12" s="90" t="s">
        <v>790</v>
      </c>
    </row>
    <row r="13" spans="1:8">
      <c r="A13" s="330" t="s">
        <v>140</v>
      </c>
      <c r="D13" s="90" t="s">
        <v>791</v>
      </c>
    </row>
    <row r="14" spans="1:8">
      <c r="A14" s="90" t="s">
        <v>137</v>
      </c>
      <c r="D14" s="90" t="s">
        <v>792</v>
      </c>
    </row>
    <row r="15" spans="1:8">
      <c r="A15" s="90" t="s">
        <v>138</v>
      </c>
    </row>
    <row r="18" spans="1:1">
      <c r="A18" s="104" t="s">
        <v>793</v>
      </c>
    </row>
    <row r="19" spans="1:1">
      <c r="A19" s="104" t="s">
        <v>794</v>
      </c>
    </row>
    <row r="20" spans="1:1">
      <c r="A20" s="103" t="s">
        <v>795</v>
      </c>
    </row>
    <row r="21" spans="1:1">
      <c r="A21" s="103" t="s">
        <v>796</v>
      </c>
    </row>
    <row r="22" spans="1:1">
      <c r="A22" s="103" t="s">
        <v>797</v>
      </c>
    </row>
    <row r="23" spans="1:1">
      <c r="A23" s="104" t="s">
        <v>798</v>
      </c>
    </row>
  </sheetData>
  <hyperlinks>
    <hyperlink ref="A18" location="'Self-Assessment'!A1" display="'Self-Assessment'!A1" xr:uid="{54CADC7A-460D-4EF0-83FA-0920742AEB66}"/>
    <hyperlink ref="A19" location="'HR Database (optional)'!A1" display="'HR Database (optional)'!A1" xr:uid="{617AF554-D9CC-4AF7-926C-7B18E782537B}"/>
    <hyperlink ref="A20" location="Inputs!A1" display="Inputs!A1" xr:uid="{7CEB5ADB-8056-479F-807A-F2490AE56035}"/>
    <hyperlink ref="A21" location="Output!A1" display="Output!A1" xr:uid="{2A420C80-F067-445D-9B49-3FFEBA286627}"/>
    <hyperlink ref="A22" location="Dashboard!A1" display="Dashboard!A1" xr:uid="{6AE55243-44D2-4435-A879-46D6CAB8FB2A}"/>
    <hyperlink ref="A23" location="'Gender Equity Leader'!A1" display="'Gender Equity Leader'!A1" xr:uid="{64DE77BA-79E2-4F5B-B86D-E957D1721F94}"/>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C00000"/>
    <outlinePr summaryBelow="0" summaryRight="0"/>
    <pageSetUpPr fitToPage="1"/>
  </sheetPr>
  <dimension ref="A1:T21"/>
  <sheetViews>
    <sheetView showGridLines="0" zoomScale="59" zoomScaleNormal="70" workbookViewId="0">
      <pane xSplit="8" ySplit="1" topLeftCell="T11" activePane="bottomRight" state="frozen"/>
      <selection pane="topRight" activeCell="I1" sqref="I1"/>
      <selection pane="bottomLeft" activeCell="A2" sqref="A2"/>
      <selection pane="bottomRight" activeCell="H11" sqref="H11"/>
    </sheetView>
  </sheetViews>
  <sheetFormatPr baseColWidth="10" defaultColWidth="12.5" defaultRowHeight="15.75" customHeight="1"/>
  <cols>
    <col min="1" max="1" width="3.5" customWidth="1"/>
    <col min="2" max="2" width="18" customWidth="1"/>
    <col min="3" max="3" width="19.1640625" customWidth="1"/>
    <col min="4" max="4" width="12" customWidth="1"/>
    <col min="5" max="5" width="15.5" customWidth="1"/>
    <col min="6" max="6" width="14.5" customWidth="1"/>
    <col min="7" max="7" width="15" customWidth="1"/>
    <col min="8" max="8" width="18.5" customWidth="1"/>
    <col min="10" max="10" width="29.83203125" customWidth="1"/>
    <col min="11" max="11" width="15.83203125" customWidth="1"/>
    <col min="14" max="14" width="11.5" customWidth="1"/>
    <col min="15" max="15" width="13.5" customWidth="1"/>
    <col min="16" max="16" width="32.5" customWidth="1"/>
    <col min="17" max="17" width="20.5" customWidth="1"/>
    <col min="18" max="18" width="18.1640625" customWidth="1"/>
    <col min="19" max="19" width="29.5" customWidth="1"/>
    <col min="20" max="20" width="45.5" customWidth="1"/>
    <col min="21" max="21" width="21.5" customWidth="1"/>
    <col min="22" max="22" width="30" customWidth="1"/>
  </cols>
  <sheetData>
    <row r="1" spans="1:20" ht="26">
      <c r="A1" s="1"/>
      <c r="B1" s="1" t="s">
        <v>312</v>
      </c>
      <c r="C1" s="1" t="s">
        <v>313</v>
      </c>
      <c r="D1" s="1" t="s">
        <v>314</v>
      </c>
      <c r="E1" s="1" t="s">
        <v>315</v>
      </c>
      <c r="F1" s="1" t="s">
        <v>316</v>
      </c>
      <c r="G1" s="1" t="s">
        <v>317</v>
      </c>
      <c r="H1" s="1" t="s">
        <v>318</v>
      </c>
      <c r="I1" s="1" t="s">
        <v>319</v>
      </c>
      <c r="J1" s="48" t="s">
        <v>799</v>
      </c>
      <c r="K1" s="48" t="s">
        <v>800</v>
      </c>
      <c r="L1" s="1" t="s">
        <v>320</v>
      </c>
      <c r="M1" s="1" t="s">
        <v>321</v>
      </c>
      <c r="N1" s="1" t="s">
        <v>322</v>
      </c>
      <c r="O1" s="1" t="s">
        <v>323</v>
      </c>
      <c r="P1" s="1" t="s">
        <v>324</v>
      </c>
      <c r="Q1" s="1" t="s">
        <v>325</v>
      </c>
      <c r="R1" s="1" t="s">
        <v>326</v>
      </c>
      <c r="S1" s="1" t="s">
        <v>327</v>
      </c>
      <c r="T1" s="1" t="s">
        <v>328</v>
      </c>
    </row>
    <row r="2" spans="1:20" ht="130">
      <c r="A2" s="12" t="b">
        <v>0</v>
      </c>
      <c r="B2" s="12" t="s">
        <v>77</v>
      </c>
      <c r="C2" s="5" t="s">
        <v>329</v>
      </c>
      <c r="D2" s="5" t="s">
        <v>330</v>
      </c>
      <c r="E2" s="5" t="s">
        <v>801</v>
      </c>
      <c r="F2" s="5" t="s">
        <v>332</v>
      </c>
      <c r="G2" s="5" t="s">
        <v>333</v>
      </c>
      <c r="H2" s="6" t="s">
        <v>334</v>
      </c>
      <c r="I2" s="5" t="s">
        <v>335</v>
      </c>
      <c r="J2" s="51" t="s">
        <v>802</v>
      </c>
      <c r="K2" s="51"/>
      <c r="L2" s="7" t="s">
        <v>336</v>
      </c>
      <c r="M2" s="5" t="s">
        <v>337</v>
      </c>
      <c r="N2" s="5" t="s">
        <v>338</v>
      </c>
      <c r="O2" s="5" t="s">
        <v>339</v>
      </c>
      <c r="P2" s="5" t="s">
        <v>340</v>
      </c>
      <c r="Q2" s="7" t="s">
        <v>341</v>
      </c>
      <c r="R2" s="5" t="s">
        <v>329</v>
      </c>
      <c r="S2" s="5" t="s">
        <v>342</v>
      </c>
      <c r="T2" s="8" t="s">
        <v>343</v>
      </c>
    </row>
    <row r="3" spans="1:20" ht="182">
      <c r="A3" s="5" t="b">
        <v>0</v>
      </c>
      <c r="B3" s="12" t="s">
        <v>77</v>
      </c>
      <c r="C3" s="5" t="s">
        <v>329</v>
      </c>
      <c r="D3" s="5" t="s">
        <v>330</v>
      </c>
      <c r="E3" s="5" t="s">
        <v>344</v>
      </c>
      <c r="F3" s="5" t="s">
        <v>345</v>
      </c>
      <c r="G3" s="5" t="s">
        <v>346</v>
      </c>
      <c r="H3" s="6" t="s">
        <v>334</v>
      </c>
      <c r="I3" s="5" t="s">
        <v>347</v>
      </c>
      <c r="J3" s="51" t="s">
        <v>803</v>
      </c>
      <c r="K3" s="51"/>
      <c r="L3" s="6" t="s">
        <v>348</v>
      </c>
      <c r="M3" s="5" t="s">
        <v>337</v>
      </c>
      <c r="N3" s="5" t="s">
        <v>349</v>
      </c>
      <c r="O3" s="5" t="s">
        <v>350</v>
      </c>
      <c r="P3" s="5" t="s">
        <v>351</v>
      </c>
      <c r="Q3" s="7" t="s">
        <v>352</v>
      </c>
      <c r="R3" s="5" t="s">
        <v>353</v>
      </c>
      <c r="S3" s="5" t="s">
        <v>354</v>
      </c>
      <c r="T3" s="7" t="s">
        <v>355</v>
      </c>
    </row>
    <row r="4" spans="1:20" ht="143">
      <c r="A4" s="5" t="b">
        <v>0</v>
      </c>
      <c r="B4" s="12" t="s">
        <v>77</v>
      </c>
      <c r="C4" s="5" t="s">
        <v>329</v>
      </c>
      <c r="D4" s="5" t="s">
        <v>330</v>
      </c>
      <c r="E4" s="5" t="s">
        <v>356</v>
      </c>
      <c r="F4" s="5" t="s">
        <v>357</v>
      </c>
      <c r="G4" s="5" t="s">
        <v>804</v>
      </c>
      <c r="H4" s="6" t="s">
        <v>334</v>
      </c>
      <c r="I4" s="5" t="s">
        <v>347</v>
      </c>
      <c r="J4" s="51" t="s">
        <v>805</v>
      </c>
      <c r="K4" s="51"/>
      <c r="L4" s="7" t="s">
        <v>359</v>
      </c>
      <c r="M4" s="5" t="s">
        <v>337</v>
      </c>
      <c r="N4" s="5" t="s">
        <v>349</v>
      </c>
      <c r="O4" s="5" t="s">
        <v>350</v>
      </c>
      <c r="P4" s="5" t="s">
        <v>360</v>
      </c>
      <c r="Q4" s="7" t="s">
        <v>352</v>
      </c>
      <c r="R4" s="5" t="s">
        <v>361</v>
      </c>
      <c r="S4" s="5" t="s">
        <v>362</v>
      </c>
      <c r="T4" s="7" t="s">
        <v>363</v>
      </c>
    </row>
    <row r="5" spans="1:20" ht="182">
      <c r="A5" s="5" t="b">
        <v>0</v>
      </c>
      <c r="B5" s="12" t="s">
        <v>77</v>
      </c>
      <c r="C5" s="5" t="s">
        <v>329</v>
      </c>
      <c r="D5" s="5" t="s">
        <v>330</v>
      </c>
      <c r="E5" s="5" t="s">
        <v>364</v>
      </c>
      <c r="F5" s="5" t="s">
        <v>365</v>
      </c>
      <c r="G5" s="5" t="s">
        <v>366</v>
      </c>
      <c r="H5" s="6" t="s">
        <v>334</v>
      </c>
      <c r="I5" s="5" t="s">
        <v>347</v>
      </c>
      <c r="J5" s="51" t="s">
        <v>806</v>
      </c>
      <c r="K5" s="51"/>
      <c r="L5" s="7" t="s">
        <v>359</v>
      </c>
      <c r="M5" s="5" t="s">
        <v>337</v>
      </c>
      <c r="N5" s="5" t="s">
        <v>349</v>
      </c>
      <c r="O5" s="5" t="s">
        <v>350</v>
      </c>
      <c r="P5" s="5" t="s">
        <v>367</v>
      </c>
      <c r="Q5" s="7" t="s">
        <v>368</v>
      </c>
      <c r="R5" s="5" t="s">
        <v>369</v>
      </c>
      <c r="S5" s="5" t="s">
        <v>370</v>
      </c>
      <c r="T5" s="7" t="s">
        <v>371</v>
      </c>
    </row>
    <row r="6" spans="1:20" ht="182">
      <c r="A6" s="10" t="b">
        <v>0</v>
      </c>
      <c r="B6" s="305" t="s">
        <v>89</v>
      </c>
      <c r="C6" s="10" t="s">
        <v>329</v>
      </c>
      <c r="D6" s="10" t="s">
        <v>330</v>
      </c>
      <c r="E6" s="10" t="s">
        <v>372</v>
      </c>
      <c r="F6" s="10" t="s">
        <v>373</v>
      </c>
      <c r="G6" s="10" t="s">
        <v>374</v>
      </c>
      <c r="H6" s="331" t="s">
        <v>375</v>
      </c>
      <c r="I6" s="332" t="s">
        <v>347</v>
      </c>
      <c r="J6" s="51" t="s">
        <v>807</v>
      </c>
      <c r="K6" s="51"/>
      <c r="L6" s="331" t="s">
        <v>348</v>
      </c>
      <c r="M6" s="10" t="s">
        <v>337</v>
      </c>
      <c r="N6" s="10" t="s">
        <v>338</v>
      </c>
      <c r="O6" s="10" t="s">
        <v>376</v>
      </c>
      <c r="P6" s="10" t="s">
        <v>351</v>
      </c>
      <c r="Q6" s="331" t="s">
        <v>352</v>
      </c>
      <c r="R6" s="10" t="s">
        <v>377</v>
      </c>
      <c r="S6" s="10" t="s">
        <v>378</v>
      </c>
      <c r="T6" s="331" t="s">
        <v>371</v>
      </c>
    </row>
    <row r="7" spans="1:20" ht="182">
      <c r="A7" s="10" t="b">
        <v>0</v>
      </c>
      <c r="B7" s="305" t="s">
        <v>89</v>
      </c>
      <c r="C7" s="10" t="s">
        <v>329</v>
      </c>
      <c r="D7" s="10" t="s">
        <v>330</v>
      </c>
      <c r="E7" s="10" t="s">
        <v>379</v>
      </c>
      <c r="F7" s="10" t="s">
        <v>380</v>
      </c>
      <c r="G7" s="10" t="s">
        <v>381</v>
      </c>
      <c r="H7" s="331" t="s">
        <v>375</v>
      </c>
      <c r="I7" s="332" t="s">
        <v>347</v>
      </c>
      <c r="J7" s="51" t="s">
        <v>808</v>
      </c>
      <c r="K7" s="51"/>
      <c r="L7" s="331" t="s">
        <v>336</v>
      </c>
      <c r="M7" s="10" t="s">
        <v>337</v>
      </c>
      <c r="N7" s="10" t="s">
        <v>338</v>
      </c>
      <c r="O7" s="10" t="s">
        <v>376</v>
      </c>
      <c r="P7" s="10" t="s">
        <v>351</v>
      </c>
      <c r="Q7" s="331" t="s">
        <v>352</v>
      </c>
      <c r="R7" s="10" t="s">
        <v>382</v>
      </c>
      <c r="S7" s="10" t="s">
        <v>383</v>
      </c>
      <c r="T7" s="331" t="s">
        <v>384</v>
      </c>
    </row>
    <row r="8" spans="1:20" ht="130">
      <c r="A8" s="10" t="b">
        <v>0</v>
      </c>
      <c r="B8" s="305" t="s">
        <v>89</v>
      </c>
      <c r="C8" s="10" t="s">
        <v>329</v>
      </c>
      <c r="D8" s="10" t="s">
        <v>330</v>
      </c>
      <c r="E8" s="10" t="s">
        <v>385</v>
      </c>
      <c r="F8" s="10" t="s">
        <v>386</v>
      </c>
      <c r="G8" s="10" t="s">
        <v>387</v>
      </c>
      <c r="H8" s="331" t="s">
        <v>375</v>
      </c>
      <c r="I8" s="332" t="s">
        <v>335</v>
      </c>
      <c r="J8" s="51" t="s">
        <v>809</v>
      </c>
      <c r="K8" s="51"/>
      <c r="L8" s="331" t="s">
        <v>336</v>
      </c>
      <c r="M8" s="10" t="s">
        <v>337</v>
      </c>
      <c r="N8" s="10" t="s">
        <v>388</v>
      </c>
      <c r="O8" s="10" t="s">
        <v>389</v>
      </c>
      <c r="P8" s="10" t="s">
        <v>340</v>
      </c>
      <c r="Q8" s="331" t="s">
        <v>341</v>
      </c>
      <c r="R8" s="10" t="s">
        <v>390</v>
      </c>
      <c r="S8" s="10" t="s">
        <v>391</v>
      </c>
      <c r="T8" s="331" t="s">
        <v>392</v>
      </c>
    </row>
    <row r="9" spans="1:20" ht="284">
      <c r="A9" s="10" t="b">
        <v>0</v>
      </c>
      <c r="B9" s="305" t="s">
        <v>89</v>
      </c>
      <c r="C9" s="10" t="s">
        <v>329</v>
      </c>
      <c r="D9" s="10" t="s">
        <v>330</v>
      </c>
      <c r="E9" s="10" t="s">
        <v>393</v>
      </c>
      <c r="F9" s="10" t="s">
        <v>394</v>
      </c>
      <c r="G9" s="10" t="s">
        <v>395</v>
      </c>
      <c r="H9" s="331" t="s">
        <v>396</v>
      </c>
      <c r="I9" s="332">
        <v>1</v>
      </c>
      <c r="J9" s="51" t="s">
        <v>810</v>
      </c>
      <c r="K9" s="51"/>
      <c r="L9" s="331" t="s">
        <v>397</v>
      </c>
      <c r="M9" s="10" t="s">
        <v>337</v>
      </c>
      <c r="N9" s="10" t="s">
        <v>349</v>
      </c>
      <c r="O9" s="10" t="s">
        <v>350</v>
      </c>
      <c r="P9" s="10" t="s">
        <v>398</v>
      </c>
      <c r="Q9" s="331" t="s">
        <v>399</v>
      </c>
      <c r="R9" s="10" t="s">
        <v>329</v>
      </c>
      <c r="S9" s="10" t="s">
        <v>400</v>
      </c>
      <c r="T9" s="331" t="s">
        <v>401</v>
      </c>
    </row>
    <row r="10" spans="1:20" ht="91">
      <c r="A10" s="10" t="b">
        <v>0</v>
      </c>
      <c r="B10" s="305" t="s">
        <v>89</v>
      </c>
      <c r="C10" s="10" t="s">
        <v>329</v>
      </c>
      <c r="D10" s="10" t="s">
        <v>402</v>
      </c>
      <c r="E10" s="10" t="s">
        <v>403</v>
      </c>
      <c r="F10" s="10" t="s">
        <v>404</v>
      </c>
      <c r="G10" s="10" t="s">
        <v>405</v>
      </c>
      <c r="H10" s="331" t="s">
        <v>396</v>
      </c>
      <c r="I10" s="332" t="s">
        <v>406</v>
      </c>
      <c r="J10" s="51" t="s">
        <v>811</v>
      </c>
      <c r="K10" s="51"/>
      <c r="L10" s="331" t="s">
        <v>396</v>
      </c>
      <c r="M10" s="10" t="s">
        <v>407</v>
      </c>
      <c r="N10" s="10" t="s">
        <v>338</v>
      </c>
      <c r="O10" s="10" t="s">
        <v>376</v>
      </c>
      <c r="P10" s="10" t="s">
        <v>408</v>
      </c>
      <c r="Q10" s="331" t="s">
        <v>375</v>
      </c>
      <c r="R10" s="10" t="s">
        <v>329</v>
      </c>
      <c r="S10" s="10" t="s">
        <v>409</v>
      </c>
      <c r="T10" s="331" t="s">
        <v>410</v>
      </c>
    </row>
    <row r="11" spans="1:20" ht="409.6">
      <c r="A11" s="10" t="b">
        <v>0</v>
      </c>
      <c r="B11" s="305" t="s">
        <v>89</v>
      </c>
      <c r="C11" s="10" t="s">
        <v>329</v>
      </c>
      <c r="D11" s="10" t="s">
        <v>411</v>
      </c>
      <c r="E11" s="60" t="s">
        <v>412</v>
      </c>
      <c r="F11" s="60" t="s">
        <v>413</v>
      </c>
      <c r="G11" s="60" t="s">
        <v>414</v>
      </c>
      <c r="H11" s="61" t="s">
        <v>396</v>
      </c>
      <c r="I11" s="61">
        <v>1</v>
      </c>
      <c r="J11" s="62" t="s">
        <v>812</v>
      </c>
      <c r="K11" s="51"/>
      <c r="L11" s="331" t="s">
        <v>396</v>
      </c>
      <c r="M11" s="10" t="s">
        <v>415</v>
      </c>
      <c r="N11" s="10" t="s">
        <v>349</v>
      </c>
      <c r="O11" s="10" t="s">
        <v>350</v>
      </c>
      <c r="P11" s="10" t="s">
        <v>416</v>
      </c>
      <c r="Q11" s="331" t="s">
        <v>813</v>
      </c>
      <c r="R11" s="10" t="s">
        <v>418</v>
      </c>
      <c r="S11" s="10" t="s">
        <v>419</v>
      </c>
      <c r="T11" s="331" t="s">
        <v>420</v>
      </c>
    </row>
    <row r="12" spans="1:20" ht="380">
      <c r="A12" s="10" t="b">
        <v>0</v>
      </c>
      <c r="B12" s="305" t="s">
        <v>89</v>
      </c>
      <c r="C12" s="10" t="s">
        <v>329</v>
      </c>
      <c r="D12" s="10" t="s">
        <v>421</v>
      </c>
      <c r="E12" s="10" t="s">
        <v>422</v>
      </c>
      <c r="F12" s="10" t="s">
        <v>423</v>
      </c>
      <c r="G12" s="63" t="s">
        <v>814</v>
      </c>
      <c r="H12" s="331" t="s">
        <v>396</v>
      </c>
      <c r="I12" s="332" t="s">
        <v>425</v>
      </c>
      <c r="J12" s="51" t="s">
        <v>815</v>
      </c>
      <c r="K12" s="51"/>
      <c r="L12" s="331" t="s">
        <v>816</v>
      </c>
      <c r="M12" s="10" t="s">
        <v>415</v>
      </c>
      <c r="N12" s="10" t="s">
        <v>338</v>
      </c>
      <c r="O12" s="10" t="s">
        <v>376</v>
      </c>
      <c r="P12" s="10" t="s">
        <v>817</v>
      </c>
      <c r="Q12" s="331" t="s">
        <v>341</v>
      </c>
      <c r="R12" s="10" t="s">
        <v>329</v>
      </c>
      <c r="S12" s="10" t="s">
        <v>428</v>
      </c>
      <c r="T12" s="331" t="s">
        <v>429</v>
      </c>
    </row>
    <row r="13" spans="1:20" ht="270" customHeight="1">
      <c r="A13" s="10" t="b">
        <v>0</v>
      </c>
      <c r="B13" s="305" t="s">
        <v>89</v>
      </c>
      <c r="C13" s="10" t="s">
        <v>329</v>
      </c>
      <c r="D13" s="10" t="s">
        <v>421</v>
      </c>
      <c r="E13" s="10" t="s">
        <v>422</v>
      </c>
      <c r="F13" s="10" t="s">
        <v>430</v>
      </c>
      <c r="G13" s="10" t="s">
        <v>818</v>
      </c>
      <c r="H13" s="331" t="s">
        <v>396</v>
      </c>
      <c r="I13" s="332" t="s">
        <v>425</v>
      </c>
      <c r="J13" s="51" t="s">
        <v>819</v>
      </c>
      <c r="K13" s="51"/>
      <c r="L13" s="331" t="s">
        <v>432</v>
      </c>
      <c r="M13" s="10" t="s">
        <v>415</v>
      </c>
      <c r="N13" s="10" t="s">
        <v>338</v>
      </c>
      <c r="O13" s="10" t="s">
        <v>376</v>
      </c>
      <c r="P13" s="10" t="s">
        <v>817</v>
      </c>
      <c r="Q13" s="331" t="s">
        <v>341</v>
      </c>
      <c r="R13" s="10" t="s">
        <v>434</v>
      </c>
      <c r="S13" s="10" t="s">
        <v>435</v>
      </c>
      <c r="T13" s="331" t="s">
        <v>429</v>
      </c>
    </row>
    <row r="14" spans="1:20" ht="182">
      <c r="A14" s="10" t="b">
        <v>0</v>
      </c>
      <c r="B14" s="305" t="s">
        <v>89</v>
      </c>
      <c r="C14" s="10" t="s">
        <v>329</v>
      </c>
      <c r="D14" s="10" t="s">
        <v>436</v>
      </c>
      <c r="E14" s="10" t="s">
        <v>437</v>
      </c>
      <c r="F14" s="10" t="s">
        <v>246</v>
      </c>
      <c r="G14" s="10" t="s">
        <v>467</v>
      </c>
      <c r="H14" s="331" t="s">
        <v>396</v>
      </c>
      <c r="I14" s="332" t="s">
        <v>254</v>
      </c>
      <c r="J14" s="51" t="s">
        <v>820</v>
      </c>
      <c r="K14" s="51"/>
      <c r="L14" s="331" t="s">
        <v>396</v>
      </c>
      <c r="M14" s="10" t="s">
        <v>337</v>
      </c>
      <c r="N14" s="10" t="s">
        <v>338</v>
      </c>
      <c r="O14" s="10" t="s">
        <v>376</v>
      </c>
      <c r="P14" s="10" t="s">
        <v>440</v>
      </c>
      <c r="Q14" s="331" t="s">
        <v>441</v>
      </c>
      <c r="R14" s="10" t="s">
        <v>442</v>
      </c>
      <c r="S14" s="10" t="s">
        <v>443</v>
      </c>
      <c r="T14" s="331" t="s">
        <v>444</v>
      </c>
    </row>
    <row r="15" spans="1:20" ht="156.5" customHeight="1">
      <c r="A15" s="12" t="b">
        <v>0</v>
      </c>
      <c r="B15" s="12" t="s">
        <v>77</v>
      </c>
      <c r="C15" s="5" t="s">
        <v>518</v>
      </c>
      <c r="D15" s="5" t="s">
        <v>519</v>
      </c>
      <c r="E15" s="5" t="s">
        <v>520</v>
      </c>
      <c r="F15" s="333" t="s">
        <v>521</v>
      </c>
      <c r="G15" s="333" t="s">
        <v>522</v>
      </c>
      <c r="H15" s="334" t="s">
        <v>523</v>
      </c>
      <c r="I15" s="333" t="s">
        <v>406</v>
      </c>
      <c r="J15" s="51" t="s">
        <v>821</v>
      </c>
      <c r="K15" s="51"/>
      <c r="L15" s="334" t="s">
        <v>523</v>
      </c>
      <c r="M15" s="5" t="s">
        <v>337</v>
      </c>
      <c r="N15" s="5" t="s">
        <v>388</v>
      </c>
      <c r="O15" s="333" t="s">
        <v>524</v>
      </c>
      <c r="P15" s="5" t="s">
        <v>525</v>
      </c>
      <c r="Q15" s="334" t="s">
        <v>526</v>
      </c>
      <c r="R15" s="333" t="s">
        <v>527</v>
      </c>
      <c r="S15" s="333" t="s">
        <v>528</v>
      </c>
      <c r="T15" s="334" t="s">
        <v>529</v>
      </c>
    </row>
    <row r="16" spans="1:20" ht="107.5" customHeight="1">
      <c r="A16" s="5" t="b">
        <v>0</v>
      </c>
      <c r="B16" s="12" t="s">
        <v>77</v>
      </c>
      <c r="C16" s="5" t="s">
        <v>518</v>
      </c>
      <c r="D16" s="5" t="s">
        <v>519</v>
      </c>
      <c r="E16" s="5" t="s">
        <v>520</v>
      </c>
      <c r="F16" s="13" t="s">
        <v>530</v>
      </c>
      <c r="G16" s="73" t="s">
        <v>531</v>
      </c>
      <c r="H16" s="334" t="s">
        <v>523</v>
      </c>
      <c r="I16" s="333" t="s">
        <v>406</v>
      </c>
      <c r="J16" s="51" t="s">
        <v>822</v>
      </c>
      <c r="K16" s="51"/>
      <c r="L16" s="334" t="s">
        <v>523</v>
      </c>
      <c r="M16" s="5" t="s">
        <v>337</v>
      </c>
      <c r="N16" s="5" t="s">
        <v>388</v>
      </c>
      <c r="O16" s="333" t="s">
        <v>524</v>
      </c>
      <c r="P16" s="5" t="s">
        <v>532</v>
      </c>
      <c r="Q16" s="334" t="s">
        <v>533</v>
      </c>
      <c r="R16" s="333" t="s">
        <v>534</v>
      </c>
      <c r="S16" s="333" t="s">
        <v>535</v>
      </c>
      <c r="T16" s="334" t="s">
        <v>529</v>
      </c>
    </row>
    <row r="17" spans="1:20" ht="153" customHeight="1">
      <c r="A17" s="10" t="b">
        <v>0</v>
      </c>
      <c r="B17" s="305" t="s">
        <v>89</v>
      </c>
      <c r="C17" s="10" t="s">
        <v>518</v>
      </c>
      <c r="D17" s="10" t="s">
        <v>519</v>
      </c>
      <c r="E17" s="10" t="s">
        <v>536</v>
      </c>
      <c r="F17" s="10" t="s">
        <v>309</v>
      </c>
      <c r="G17" s="10" t="s">
        <v>467</v>
      </c>
      <c r="H17" s="331" t="s">
        <v>523</v>
      </c>
      <c r="I17" s="332" t="s">
        <v>254</v>
      </c>
      <c r="J17" s="51"/>
      <c r="K17" s="51"/>
      <c r="L17" s="331" t="s">
        <v>523</v>
      </c>
      <c r="M17" s="10" t="s">
        <v>337</v>
      </c>
      <c r="N17" s="10" t="s">
        <v>338</v>
      </c>
      <c r="O17" s="10" t="s">
        <v>537</v>
      </c>
      <c r="P17" s="10" t="s">
        <v>538</v>
      </c>
      <c r="Q17" s="331" t="s">
        <v>539</v>
      </c>
      <c r="R17" s="10" t="s">
        <v>527</v>
      </c>
      <c r="S17" s="10" t="s">
        <v>540</v>
      </c>
      <c r="T17" s="331" t="s">
        <v>541</v>
      </c>
    </row>
    <row r="18" spans="1:20" ht="263.5" customHeight="1">
      <c r="A18" s="10" t="b">
        <v>0</v>
      </c>
      <c r="B18" s="305" t="s">
        <v>89</v>
      </c>
      <c r="C18" s="10" t="s">
        <v>518</v>
      </c>
      <c r="D18" s="10" t="s">
        <v>542</v>
      </c>
      <c r="E18" s="10" t="s">
        <v>543</v>
      </c>
      <c r="F18" s="10" t="s">
        <v>544</v>
      </c>
      <c r="G18" s="10" t="s">
        <v>545</v>
      </c>
      <c r="H18" s="331" t="s">
        <v>546</v>
      </c>
      <c r="I18" s="332" t="s">
        <v>547</v>
      </c>
      <c r="J18" s="51" t="s">
        <v>823</v>
      </c>
      <c r="K18" s="51"/>
      <c r="L18" s="331" t="s">
        <v>546</v>
      </c>
      <c r="M18" s="10" t="s">
        <v>337</v>
      </c>
      <c r="N18" s="10" t="s">
        <v>338</v>
      </c>
      <c r="O18" s="10"/>
      <c r="P18" s="10" t="s">
        <v>824</v>
      </c>
      <c r="Q18" s="331" t="s">
        <v>546</v>
      </c>
      <c r="R18" s="10" t="s">
        <v>534</v>
      </c>
      <c r="S18" s="10" t="s">
        <v>550</v>
      </c>
      <c r="T18" s="10" t="s">
        <v>551</v>
      </c>
    </row>
    <row r="19" spans="1:20" ht="259.5" customHeight="1">
      <c r="A19" s="10" t="b">
        <v>0</v>
      </c>
      <c r="B19" s="305" t="s">
        <v>89</v>
      </c>
      <c r="C19" s="10" t="s">
        <v>518</v>
      </c>
      <c r="D19" s="10" t="s">
        <v>542</v>
      </c>
      <c r="E19" s="10" t="s">
        <v>552</v>
      </c>
      <c r="F19" s="10" t="s">
        <v>553</v>
      </c>
      <c r="G19" s="10" t="s">
        <v>554</v>
      </c>
      <c r="H19" s="331" t="s">
        <v>546</v>
      </c>
      <c r="I19" s="332" t="s">
        <v>547</v>
      </c>
      <c r="J19" s="51" t="s">
        <v>825</v>
      </c>
      <c r="K19" s="51"/>
      <c r="L19" s="331" t="s">
        <v>546</v>
      </c>
      <c r="M19" s="10" t="s">
        <v>337</v>
      </c>
      <c r="N19" s="10" t="s">
        <v>338</v>
      </c>
      <c r="O19" s="10"/>
      <c r="P19" s="10" t="s">
        <v>555</v>
      </c>
      <c r="Q19" s="331" t="s">
        <v>546</v>
      </c>
      <c r="R19" s="10" t="s">
        <v>534</v>
      </c>
      <c r="S19" s="10" t="s">
        <v>556</v>
      </c>
      <c r="T19" s="331" t="s">
        <v>551</v>
      </c>
    </row>
    <row r="20" spans="1:20" ht="33.75" customHeight="1">
      <c r="A20" s="9"/>
      <c r="B20" s="9"/>
      <c r="C20" s="9"/>
      <c r="D20" s="9"/>
      <c r="E20" s="9"/>
      <c r="F20" s="9"/>
      <c r="G20" s="9"/>
      <c r="H20" s="9"/>
      <c r="I20" s="9"/>
      <c r="J20" s="9"/>
      <c r="K20" s="9"/>
      <c r="L20" s="9"/>
      <c r="M20" s="9"/>
      <c r="N20" s="9"/>
      <c r="O20" s="9"/>
      <c r="P20" s="9"/>
      <c r="Q20" s="9"/>
      <c r="R20" s="9"/>
      <c r="S20" s="9"/>
      <c r="T20" s="9"/>
    </row>
    <row r="21" spans="1:20" ht="172.5" customHeight="1">
      <c r="B21" s="444" t="s">
        <v>826</v>
      </c>
      <c r="C21" s="387"/>
      <c r="D21" s="387"/>
      <c r="E21" s="387"/>
      <c r="F21" s="387"/>
      <c r="G21" s="387"/>
      <c r="H21" s="387"/>
      <c r="I21" s="11"/>
      <c r="J21" s="11"/>
      <c r="K21" s="11"/>
      <c r="L21" s="11"/>
      <c r="M21" s="11"/>
      <c r="N21" s="11"/>
      <c r="O21" s="11"/>
      <c r="P21" s="11"/>
      <c r="Q21" s="11"/>
      <c r="R21" s="11"/>
      <c r="S21" s="11"/>
      <c r="T21" s="11"/>
    </row>
  </sheetData>
  <mergeCells count="1">
    <mergeCell ref="B21:H21"/>
  </mergeCells>
  <dataValidations count="3">
    <dataValidation type="list" allowBlank="1" showInputMessage="1" showErrorMessage="1" sqref="K2:K5" xr:uid="{2D960E7C-70D1-4A8F-A93A-5983B5CD394A}">
      <formula1>$AE$2:$AE$3</formula1>
    </dataValidation>
    <dataValidation type="list" allowBlank="1" showErrorMessage="1" sqref="C2:C19" xr:uid="{00000000-0002-0000-0200-000000000000}">
      <formula1>"Human Resources,Credit "</formula1>
    </dataValidation>
    <dataValidation type="list" allowBlank="1" showInputMessage="1" showErrorMessage="1" sqref="K6:K19" xr:uid="{CF10FCBA-4FAF-402A-B628-27C585B756A9}">
      <formula1>#REF!</formula1>
    </dataValidation>
  </dataValidations>
  <hyperlinks>
    <hyperlink ref="H2" r:id="rId1" xr:uid="{00000000-0004-0000-0200-000000000000}"/>
    <hyperlink ref="L2" r:id="rId2" xr:uid="{00000000-0004-0000-0200-000001000000}"/>
    <hyperlink ref="Q2" r:id="rId3" xr:uid="{00000000-0004-0000-0200-000002000000}"/>
    <hyperlink ref="T2" r:id="rId4" xr:uid="{00000000-0004-0000-0200-000003000000}"/>
    <hyperlink ref="H3" r:id="rId5" xr:uid="{00000000-0004-0000-0200-000004000000}"/>
    <hyperlink ref="L3" r:id="rId6" xr:uid="{00000000-0004-0000-0200-000005000000}"/>
    <hyperlink ref="Q3" r:id="rId7" location="/" xr:uid="{00000000-0004-0000-0200-000006000000}"/>
    <hyperlink ref="T3" r:id="rId8" xr:uid="{00000000-0004-0000-0200-000007000000}"/>
    <hyperlink ref="H4" r:id="rId9" xr:uid="{00000000-0004-0000-0200-000008000000}"/>
    <hyperlink ref="L4" r:id="rId10" xr:uid="{00000000-0004-0000-0200-000009000000}"/>
    <hyperlink ref="Q4" r:id="rId11" location="/" xr:uid="{00000000-0004-0000-0200-00000A000000}"/>
    <hyperlink ref="T4" r:id="rId12" xr:uid="{00000000-0004-0000-0200-00000B000000}"/>
    <hyperlink ref="H5" r:id="rId13" xr:uid="{00000000-0004-0000-0200-00000C000000}"/>
    <hyperlink ref="L5" r:id="rId14" xr:uid="{00000000-0004-0000-0200-00000D000000}"/>
    <hyperlink ref="Q5" r:id="rId15" location="/" xr:uid="{00000000-0004-0000-0200-00000E000000}"/>
    <hyperlink ref="T5" r:id="rId16" xr:uid="{00000000-0004-0000-0200-00000F000000}"/>
    <hyperlink ref="H6" r:id="rId17" xr:uid="{00000000-0004-0000-0200-000010000000}"/>
    <hyperlink ref="L6" r:id="rId18" xr:uid="{00000000-0004-0000-0200-000011000000}"/>
    <hyperlink ref="Q6" r:id="rId19" location="/" xr:uid="{00000000-0004-0000-0200-000012000000}"/>
    <hyperlink ref="T6" r:id="rId20" xr:uid="{00000000-0004-0000-0200-000013000000}"/>
    <hyperlink ref="H7" r:id="rId21" xr:uid="{00000000-0004-0000-0200-000014000000}"/>
    <hyperlink ref="L7" r:id="rId22" xr:uid="{00000000-0004-0000-0200-000015000000}"/>
    <hyperlink ref="Q7" r:id="rId23" location="/" xr:uid="{00000000-0004-0000-0200-000016000000}"/>
    <hyperlink ref="T7" r:id="rId24" xr:uid="{00000000-0004-0000-0200-000017000000}"/>
    <hyperlink ref="H8" r:id="rId25" xr:uid="{00000000-0004-0000-0200-000018000000}"/>
    <hyperlink ref="L8" r:id="rId26" xr:uid="{00000000-0004-0000-0200-000019000000}"/>
    <hyperlink ref="Q8" r:id="rId27" xr:uid="{00000000-0004-0000-0200-00001A000000}"/>
    <hyperlink ref="T8" r:id="rId28" xr:uid="{00000000-0004-0000-0200-00001B000000}"/>
    <hyperlink ref="H9" r:id="rId29" xr:uid="{00000000-0004-0000-0200-00001C000000}"/>
    <hyperlink ref="L9" r:id="rId30" xr:uid="{00000000-0004-0000-0200-00001D000000}"/>
    <hyperlink ref="Q9" r:id="rId31" xr:uid="{00000000-0004-0000-0200-00001E000000}"/>
    <hyperlink ref="T9" r:id="rId32" xr:uid="{00000000-0004-0000-0200-00001F000000}"/>
    <hyperlink ref="H10" r:id="rId33" xr:uid="{00000000-0004-0000-0200-000020000000}"/>
    <hyperlink ref="L10" r:id="rId34" xr:uid="{00000000-0004-0000-0200-000021000000}"/>
    <hyperlink ref="Q10" r:id="rId35" xr:uid="{00000000-0004-0000-0200-000022000000}"/>
    <hyperlink ref="T10" r:id="rId36" xr:uid="{00000000-0004-0000-0200-000023000000}"/>
    <hyperlink ref="H11" r:id="rId37" xr:uid="{00000000-0004-0000-0200-000024000000}"/>
    <hyperlink ref="L11" r:id="rId38" xr:uid="{00000000-0004-0000-0200-000025000000}"/>
    <hyperlink ref="Q11" r:id="rId39" location="/" xr:uid="{00000000-0004-0000-0200-000026000000}"/>
    <hyperlink ref="T11" r:id="rId40" xr:uid="{00000000-0004-0000-0200-000027000000}"/>
    <hyperlink ref="H12" r:id="rId41" xr:uid="{00000000-0004-0000-0200-000028000000}"/>
    <hyperlink ref="L12" r:id="rId42" xr:uid="{00000000-0004-0000-0200-000029000000}"/>
    <hyperlink ref="Q12" r:id="rId43" xr:uid="{00000000-0004-0000-0200-00002A000000}"/>
    <hyperlink ref="T12" r:id="rId44" xr:uid="{00000000-0004-0000-0200-00002B000000}"/>
    <hyperlink ref="H13" r:id="rId45" xr:uid="{00000000-0004-0000-0200-00002C000000}"/>
    <hyperlink ref="L13" r:id="rId46" xr:uid="{00000000-0004-0000-0200-00002D000000}"/>
    <hyperlink ref="Q13" r:id="rId47" xr:uid="{00000000-0004-0000-0200-00002E000000}"/>
    <hyperlink ref="T13" r:id="rId48" xr:uid="{00000000-0004-0000-0200-00002F000000}"/>
    <hyperlink ref="H14" r:id="rId49" xr:uid="{00000000-0004-0000-0200-000030000000}"/>
    <hyperlink ref="L14" r:id="rId50" xr:uid="{00000000-0004-0000-0200-000031000000}"/>
    <hyperlink ref="Q14" r:id="rId51" xr:uid="{00000000-0004-0000-0200-000032000000}"/>
    <hyperlink ref="T14" r:id="rId52" xr:uid="{00000000-0004-0000-0200-000033000000}"/>
    <hyperlink ref="H15" r:id="rId53" xr:uid="{00000000-0004-0000-0200-000034000000}"/>
    <hyperlink ref="L15" r:id="rId54" xr:uid="{00000000-0004-0000-0200-000035000000}"/>
    <hyperlink ref="Q15" r:id="rId55" xr:uid="{00000000-0004-0000-0200-000036000000}"/>
    <hyperlink ref="T15" r:id="rId56" xr:uid="{00000000-0004-0000-0200-000037000000}"/>
    <hyperlink ref="H16" r:id="rId57" xr:uid="{00000000-0004-0000-0200-000038000000}"/>
    <hyperlink ref="L16" r:id="rId58" xr:uid="{00000000-0004-0000-0200-000039000000}"/>
    <hyperlink ref="Q16" r:id="rId59" xr:uid="{00000000-0004-0000-0200-00003A000000}"/>
    <hyperlink ref="T16" r:id="rId60" xr:uid="{00000000-0004-0000-0200-00003B000000}"/>
    <hyperlink ref="H17" r:id="rId61" xr:uid="{00000000-0004-0000-0200-00003C000000}"/>
    <hyperlink ref="L17" r:id="rId62" xr:uid="{00000000-0004-0000-0200-00003D000000}"/>
    <hyperlink ref="Q17" r:id="rId63" xr:uid="{00000000-0004-0000-0200-00003E000000}"/>
    <hyperlink ref="T17" r:id="rId64" xr:uid="{00000000-0004-0000-0200-00003F000000}"/>
    <hyperlink ref="H19" r:id="rId65" xr:uid="{00000000-0004-0000-0200-000051000000}"/>
    <hyperlink ref="L19" r:id="rId66" xr:uid="{00000000-0004-0000-0200-000052000000}"/>
    <hyperlink ref="Q19" r:id="rId67" xr:uid="{00000000-0004-0000-0200-000053000000}"/>
    <hyperlink ref="T19" r:id="rId68" xr:uid="{177B0496-9DE9-4629-8BB8-286643151B7F}"/>
    <hyperlink ref="T18" r:id="rId69" xr:uid="{E8658ACC-8DBB-4713-B13C-A5C3890691F9}"/>
    <hyperlink ref="Q18" r:id="rId70" xr:uid="{00000000-0004-0000-0200-000049000000}"/>
    <hyperlink ref="L18" r:id="rId71" xr:uid="{00000000-0004-0000-0200-000048000000}"/>
    <hyperlink ref="H18" r:id="rId72" xr:uid="{00000000-0004-0000-0200-000047000000}"/>
  </hyperlinks>
  <printOptions horizontalCentered="1" gridLines="1"/>
  <pageMargins left="0.7" right="0.7" top="0.75" bottom="0.75" header="0" footer="0"/>
  <pageSetup fitToHeight="0" pageOrder="overThenDown" orientation="landscape" cellComments="atEnd"/>
  <drawing r:id="rId73"/>
  <legacyDrawing r:id="rId7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outlinePr summaryBelow="0" summaryRight="0"/>
  </sheetPr>
  <dimension ref="A1:M1000"/>
  <sheetViews>
    <sheetView showGridLines="0" zoomScale="84" workbookViewId="0">
      <selection activeCell="A2" sqref="A2"/>
    </sheetView>
  </sheetViews>
  <sheetFormatPr baseColWidth="10" defaultColWidth="12.5" defaultRowHeight="15.75" customHeight="1"/>
  <cols>
    <col min="1" max="1" width="27.5" customWidth="1"/>
    <col min="2" max="2" width="18.5" customWidth="1"/>
    <col min="3" max="3" width="24.5" customWidth="1"/>
    <col min="4" max="4" width="12.5" customWidth="1"/>
    <col min="5" max="5" width="39.5" customWidth="1"/>
    <col min="6" max="6" width="34.1640625" customWidth="1"/>
    <col min="10" max="10" width="16.83203125" customWidth="1"/>
    <col min="11" max="11" width="15.5" customWidth="1"/>
    <col min="12" max="12" width="22.5" customWidth="1"/>
    <col min="13" max="13" width="49.5" customWidth="1"/>
  </cols>
  <sheetData>
    <row r="1" spans="1:13" ht="26">
      <c r="A1" s="335" t="s">
        <v>827</v>
      </c>
      <c r="B1" s="335" t="s">
        <v>314</v>
      </c>
      <c r="C1" s="335" t="s">
        <v>315</v>
      </c>
      <c r="D1" s="335" t="s">
        <v>322</v>
      </c>
      <c r="E1" s="335" t="s">
        <v>316</v>
      </c>
      <c r="F1" s="335" t="s">
        <v>828</v>
      </c>
      <c r="G1" s="335" t="s">
        <v>319</v>
      </c>
      <c r="H1" s="336" t="s">
        <v>829</v>
      </c>
      <c r="I1" s="336" t="s">
        <v>830</v>
      </c>
      <c r="J1" s="335" t="s">
        <v>321</v>
      </c>
      <c r="K1" s="335" t="s">
        <v>831</v>
      </c>
      <c r="L1" s="335" t="s">
        <v>832</v>
      </c>
      <c r="M1" s="335" t="s">
        <v>327</v>
      </c>
    </row>
    <row r="2" spans="1:13" ht="111" customHeight="1">
      <c r="A2" s="337" t="str">
        <f ca="1">IFERROR(__xludf.DUMMYFUNCTION("IFERROR(VSTACK(
  FILTER(
    HSTACK(
      'Gender Aware Adopter'!B2:B98,
      'Gender Aware Adopter'!D2:D98,
      'Gender Aware Adopter'!E2:E98,
      'Gender Aware Adopter'!L2:L98,
      'Gender Aware Adopter'!F2:F98,
      'Gender Aware Adopter'!G2:"&amp;"G98,
      'Gender Aware Adopter'!I2:I98,
      MAKEARRAY(ROWS('Gender Aware Adopter'!A2:A98), 2, LAMBDA(r,c,"""")),
      'Gender Aware Adopter'!K2:K98,
      MAKEARRAY(ROWS('Gender Aware Adopter'!A2:A98), 1, LAMBDA(r,c,"""")),
      'Gender Aware Adopte"&amp;"r'!P2:P98,
      'Gender Aware Adopter'!Q2:Q98
    ),
    'Gender Aware Adopter'!A2:A98=TRUE
  ),
  FILTER(
    HSTACK(
      'Gender Responsive Implementer'!B2:B96,
      'Gender Responsive Implementer'!D2:D96,
      'Gender Responsive Implementer'!E2:E9"&amp;"6,
      'Gender Responsive Implementer'!L2:L96,
      'Gender Responsive Implementer'!F2:F96,
      'Gender Responsive Implementer'!G2:G96,
      'Gender Responsive Implementer'!I2:I96,
      MAKEARRAY(ROWS('Gender Responsive Implementer'!A2:A96), 2, LAM"&amp;"BDA(r,c,"""")),
      'Gender Responsive Implementer'!K2:K96,
      MAKEARRAY(ROWS('Gender Responsive Implementer'!A2:A96), 1, LAMBDA(r,c,"""")),
      'Gender Responsive Implementer'!P2:P96,
      'Gender Responsive Implementer'!Q2:Q96
    ),
    'Gender"&amp;" Responsive Implementer'!A2:A96=TRUE
  ),
  FILTER(
    HSTACK(
      'Gender Equity Advocate'!B2:B94,
      'Gender Equity Advocate'!D2:D94,
      'Gender Equity Advocate'!E2:E94,
      'Gender Equity Advocate'!L2:L94,
      'Gender Equity Advocate'!F2:F"&amp;"94,
      'Gender Equity Advocate'!G2:G94,
      'Gender Equity Advocate'!I2:I94,
      MAKEARRAY(ROWS('Gender Equity Advocate'!A2:A94), 2, LAMBDA(r,c,"""")),
      'Gender Equity Advocate'!K2:K94,
      MAKEARRAY(ROWS('Gender Equity Advocate'!A2:A94), 1,"&amp;" LAMBDA(r,c,"""")),
      'Gender Equity Advocate'!P2:P94,
      'Gender Equity Advocate'!Q2:Q94
    ),
    'Gender Equity Advocate'!A2:A94=TRUE
  ),
  FILTER(
    HSTACK(
      'Gender Equality Trailblazer'!B2:B93,
      'Gender Equality Trailblazer'!D2:"&amp;"D93,
      'Gender Equality Trailblazer'!E2:E93,
      'Gender Equality Trailblazer'!L2:L93,
      'Gender Equality Trailblazer'!F2:F93,
      'Gender Equality Trailblazer'!G2:G93,
      'Gender Equality Trailblazer'!I2:I93,
      MAKEARRAY(ROWS('Gender E"&amp;"quality Trailblazer'!A2:A93), 2, LAMBDA(r,c,"""")),
      'Gender Equality Trailblazer'!K2:K93,
      MAKEARRAY(ROWS('Gender Equality Trailblazer'!A2:A93), 1, LAMBDA(r,c,"""")),
      'Gender Equality Trailblazer'!P2:P93,
      'Gender Equality Trailblaze"&amp;"r'!Q2:Q93
    ),
    'Gender Equality Trailblazer'!A2:A93=TRUE
  )
)
)"),"Gender-Aware Adopter")</f>
        <v>Gender-Aware Adopter</v>
      </c>
      <c r="B2" s="338" t="str">
        <f ca="1">IFERROR(__xludf.DUMMYFUNCTION("""COMPUTED_VALUE"""),"Firm-Level")</f>
        <v>Firm-Level</v>
      </c>
      <c r="C2" s="338" t="str">
        <f ca="1">IFERROR(__xludf.DUMMYFUNCTION("""COMPUTED_VALUE"""),"Increase overall women workforce ")</f>
        <v xml:space="preserve">Increase overall women workforce </v>
      </c>
      <c r="D2" s="338" t="str">
        <f ca="1">IFERROR(__xludf.DUMMYFUNCTION("""COMPUTED_VALUE"""),"$$")</f>
        <v>$$</v>
      </c>
      <c r="E2" s="338" t="str">
        <f ca="1">IFERROR(__xludf.DUMMYFUNCTION("""COMPUTED_VALUE"""),"Percentage of women employees")</f>
        <v>Percentage of women employees</v>
      </c>
      <c r="F2" s="338" t="str">
        <f ca="1">IFERROR(__xludf.DUMMYFUNCTION("""COMPUTED_VALUE"""),"(Number of Women Employees/Total Employees)×100")</f>
        <v>(Number of Women Employees/Total Employees)×100</v>
      </c>
      <c r="G2" s="338" t="str">
        <f ca="1">IFERROR(__xludf.DUMMYFUNCTION("""COMPUTED_VALUE"""),"At least 40%")</f>
        <v>At least 40%</v>
      </c>
      <c r="H2" s="339" t="str">
        <f ca="1">IFERROR(__xludf.DUMMYFUNCTION("""COMPUTED_VALUE"""),"")</f>
        <v/>
      </c>
      <c r="I2" s="339" t="str">
        <f ca="1">IFERROR(__xludf.DUMMYFUNCTION("""COMPUTED_VALUE"""),"")</f>
        <v/>
      </c>
      <c r="J2" s="338" t="str">
        <f ca="1">IFERROR(__xludf.DUMMYFUNCTION("""COMPUTED_VALUE"""),"Annually")</f>
        <v>Annually</v>
      </c>
      <c r="K2" s="338" t="str">
        <f ca="1">IFERROR(__xludf.DUMMYFUNCTION("""COMPUTED_VALUE"""),"")</f>
        <v/>
      </c>
      <c r="L2" s="338" t="str">
        <f ca="1">IFERROR(__xludf.DUMMYFUNCTION("""COMPUTED_VALUE"""),"Human Resources")</f>
        <v>Human Resources</v>
      </c>
      <c r="M2" s="338" t="str">
        <f ca="1">IFERROR(__xludf.DUMMYFUNCTION("""COMPUTED_VALUE"""),"1. Set gender-balanced hiring targets and eliminate bias in job descriptions. 
2. Offer paid parental leave and hybrid work options to retain female talent. 
3. Monitor hiring, pay equity, and career progression to ensure equal opportunities.")</f>
        <v>1. Set gender-balanced hiring targets and eliminate bias in job descriptions. 
2. Offer paid parental leave and hybrid work options to retain female talent. 
3. Monitor hiring, pay equity, and career progression to ensure equal opportunities.</v>
      </c>
    </row>
    <row r="3" spans="1:13" ht="93.75" customHeight="1">
      <c r="A3" s="337" t="str">
        <f ca="1">IFERROR(__xludf.DUMMYFUNCTION("""COMPUTED_VALUE"""),"Gender-Aware Adopter")</f>
        <v>Gender-Aware Adopter</v>
      </c>
      <c r="B3" s="338" t="str">
        <f ca="1">IFERROR(__xludf.DUMMYFUNCTION("""COMPUTED_VALUE"""),"Firm-Level")</f>
        <v>Firm-Level</v>
      </c>
      <c r="C3" s="338" t="str">
        <f ca="1">IFERROR(__xludf.DUMMYFUNCTION("""COMPUTED_VALUE"""),"Promote women to management ")</f>
        <v xml:space="preserve">Promote women to management </v>
      </c>
      <c r="D3" s="338" t="str">
        <f ca="1">IFERROR(__xludf.DUMMYFUNCTION("""COMPUTED_VALUE"""),"$$$")</f>
        <v>$$$</v>
      </c>
      <c r="E3" s="338" t="str">
        <f ca="1">IFERROR(__xludf.DUMMYFUNCTION("""COMPUTED_VALUE"""),"Percentage of women at management level¹")</f>
        <v>Percentage of women at management level¹</v>
      </c>
      <c r="F3" s="338" t="str">
        <f ca="1">IFERROR(__xludf.DUMMYFUNCTION("""COMPUTED_VALUE"""),"(Number of Women Managers/Total Number of Managers)x100")</f>
        <v>(Number of Women Managers/Total Number of Managers)x100</v>
      </c>
      <c r="G3" s="338" t="str">
        <f ca="1">IFERROR(__xludf.DUMMYFUNCTION("""COMPUTED_VALUE"""),"At least 30%")</f>
        <v>At least 30%</v>
      </c>
      <c r="H3" s="339" t="str">
        <f ca="1">IFERROR(__xludf.DUMMYFUNCTION("""COMPUTED_VALUE"""),"")</f>
        <v/>
      </c>
      <c r="I3" s="339" t="str">
        <f ca="1">IFERROR(__xludf.DUMMYFUNCTION("""COMPUTED_VALUE"""),"")</f>
        <v/>
      </c>
      <c r="J3" s="338" t="str">
        <f ca="1">IFERROR(__xludf.DUMMYFUNCTION("""COMPUTED_VALUE"""),"Annually")</f>
        <v>Annually</v>
      </c>
      <c r="K3" s="338" t="str">
        <f ca="1">IFERROR(__xludf.DUMMYFUNCTION("""COMPUTED_VALUE"""),"")</f>
        <v/>
      </c>
      <c r="L3" s="338" t="str">
        <f ca="1">IFERROR(__xludf.DUMMYFUNCTION("""COMPUTED_VALUE"""),"Executive Leadership &amp; Human Resources")</f>
        <v>Executive Leadership &amp; Human Resources</v>
      </c>
      <c r="M3" s="338" t="str">
        <f ca="1">IFERROR(__xludf.DUMMYFUNCTION("""COMPUTED_VALUE"""),"1. Provide mentorship, sponsorship, and executive coaching for high-potential women. 
2. Ensure transparent promotions and monitor gender representation in leadership. 
3. Create structured pathways and career acceleration programs for women in senior rol"&amp;"es.")</f>
        <v>1. Provide mentorship, sponsorship, and executive coaching for high-potential women. 
2. Ensure transparent promotions and monitor gender representation in leadership. 
3. Create structured pathways and career acceleration programs for women in senior roles.</v>
      </c>
    </row>
    <row r="4" spans="1:13" ht="52.5" customHeight="1">
      <c r="A4" s="337"/>
      <c r="B4" s="338"/>
      <c r="C4" s="338"/>
      <c r="D4" s="338"/>
      <c r="E4" s="338"/>
      <c r="F4" s="338"/>
      <c r="G4" s="338"/>
      <c r="H4" s="339"/>
      <c r="I4" s="339"/>
      <c r="J4" s="338"/>
      <c r="K4" s="338"/>
      <c r="L4" s="338"/>
      <c r="M4" s="338"/>
    </row>
    <row r="5" spans="1:13" ht="13">
      <c r="A5" s="337"/>
      <c r="B5" s="338"/>
      <c r="C5" s="338"/>
      <c r="D5" s="338"/>
      <c r="E5" s="338"/>
      <c r="F5" s="338"/>
      <c r="G5" s="338"/>
      <c r="H5" s="339"/>
      <c r="I5" s="339"/>
      <c r="J5" s="338"/>
      <c r="K5" s="338"/>
      <c r="L5" s="338"/>
      <c r="M5" s="338"/>
    </row>
    <row r="6" spans="1:13" ht="78">
      <c r="A6" s="337" t="str">
        <f ca="1">IFERROR(__xludf.DUMMYFUNCTION("""COMPUTED_VALUE"""),"Gender-Aware Adopter")</f>
        <v>Gender-Aware Adopter</v>
      </c>
      <c r="B6" s="338" t="str">
        <f ca="1">IFERROR(__xludf.DUMMYFUNCTION("""COMPUTED_VALUE"""),"Firm-Level")</f>
        <v>Firm-Level</v>
      </c>
      <c r="C6" s="338" t="str">
        <f ca="1">IFERROR(__xludf.DUMMYFUNCTION("""COMPUTED_VALUE"""),"Increase overall women in workforce ")</f>
        <v xml:space="preserve">Increase overall women in workforce </v>
      </c>
      <c r="D6" s="338" t="str">
        <f ca="1">IFERROR(__xludf.DUMMYFUNCTION("""COMPUTED_VALUE"""),"$$")</f>
        <v>$$</v>
      </c>
      <c r="E6" s="338" t="str">
        <f ca="1">IFERROR(__xludf.DUMMYFUNCTION("""COMPUTED_VALUE"""),"Percentage of women employees")</f>
        <v>Percentage of women employees</v>
      </c>
      <c r="F6" s="338" t="str">
        <f ca="1">IFERROR(__xludf.DUMMYFUNCTION("""COMPUTED_VALUE"""),"(Number of Women Employees/Total Employees)×100")</f>
        <v>(Number of Women Employees/Total Employees)×100</v>
      </c>
      <c r="G6" s="338" t="str">
        <f ca="1">IFERROR(__xludf.DUMMYFUNCTION("""COMPUTED_VALUE"""),"At least 40%")</f>
        <v>At least 40%</v>
      </c>
      <c r="H6" s="339" t="str">
        <f ca="1">IFERROR(__xludf.DUMMYFUNCTION("""COMPUTED_VALUE"""),"")</f>
        <v/>
      </c>
      <c r="I6" s="339" t="str">
        <f ca="1">IFERROR(__xludf.DUMMYFUNCTION("""COMPUTED_VALUE"""),"")</f>
        <v/>
      </c>
      <c r="J6" s="338" t="str">
        <f ca="1">IFERROR(__xludf.DUMMYFUNCTION("""COMPUTED_VALUE"""),"Annually")</f>
        <v>Annually</v>
      </c>
      <c r="K6" s="338" t="str">
        <f ca="1">IFERROR(__xludf.DUMMYFUNCTION("""COMPUTED_VALUE"""),"")</f>
        <v/>
      </c>
      <c r="L6" s="338" t="str">
        <f ca="1">IFERROR(__xludf.DUMMYFUNCTION("""COMPUTED_VALUE"""),"Human Resources")</f>
        <v>Human Resources</v>
      </c>
      <c r="M6" s="338" t="str">
        <f ca="1">IFERROR(__xludf.DUMMYFUNCTION("""COMPUTED_VALUE"""),"1. Set gender-balanced hiring targets and eliminate bias in job descriptions. 
2. Offer paid parental leave and hybrid work options to retain female talent. 
3. Monitor hiring, pay equity, and career progression to ensure equal opportunities.")</f>
        <v>1. Set gender-balanced hiring targets and eliminate bias in job descriptions. 
2. Offer paid parental leave and hybrid work options to retain female talent. 
3. Monitor hiring, pay equity, and career progression to ensure equal opportunities.</v>
      </c>
    </row>
    <row r="7" spans="1:13" ht="78">
      <c r="A7" s="337" t="str">
        <f ca="1">IFERROR(__xludf.DUMMYFUNCTION("""COMPUTED_VALUE"""),"Gender-Aware Adopter")</f>
        <v>Gender-Aware Adopter</v>
      </c>
      <c r="B7" s="338" t="str">
        <f ca="1">IFERROR(__xludf.DUMMYFUNCTION("""COMPUTED_VALUE"""),"Firm-Level")</f>
        <v>Firm-Level</v>
      </c>
      <c r="C7" s="338" t="str">
        <f ca="1">IFERROR(__xludf.DUMMYFUNCTION("""COMPUTED_VALUE"""),"Promote women to management ")</f>
        <v xml:space="preserve">Promote women to management </v>
      </c>
      <c r="D7" s="338" t="str">
        <f ca="1">IFERROR(__xludf.DUMMYFUNCTION("""COMPUTED_VALUE"""),"$$$")</f>
        <v>$$$</v>
      </c>
      <c r="E7" s="338" t="str">
        <f ca="1">IFERROR(__xludf.DUMMYFUNCTION("""COMPUTED_VALUE"""),"Percentage of women at management level¹")</f>
        <v>Percentage of women at management level¹</v>
      </c>
      <c r="F7" s="338" t="str">
        <f ca="1">IFERROR(__xludf.DUMMYFUNCTION("""COMPUTED_VALUE"""),"(Number of Women Managers/Total Number of Managers)x100")</f>
        <v>(Number of Women Managers/Total Number of Managers)x100</v>
      </c>
      <c r="G7" s="338" t="str">
        <f ca="1">IFERROR(__xludf.DUMMYFUNCTION("""COMPUTED_VALUE"""),"At least 30%")</f>
        <v>At least 30%</v>
      </c>
      <c r="H7" s="339" t="str">
        <f ca="1">IFERROR(__xludf.DUMMYFUNCTION("""COMPUTED_VALUE"""),"")</f>
        <v/>
      </c>
      <c r="I7" s="339" t="str">
        <f ca="1">IFERROR(__xludf.DUMMYFUNCTION("""COMPUTED_VALUE"""),"")</f>
        <v/>
      </c>
      <c r="J7" s="338" t="str">
        <f ca="1">IFERROR(__xludf.DUMMYFUNCTION("""COMPUTED_VALUE"""),"Annually")</f>
        <v>Annually</v>
      </c>
      <c r="K7" s="338" t="str">
        <f ca="1">IFERROR(__xludf.DUMMYFUNCTION("""COMPUTED_VALUE"""),"")</f>
        <v/>
      </c>
      <c r="L7" s="338" t="str">
        <f ca="1">IFERROR(__xludf.DUMMYFUNCTION("""COMPUTED_VALUE"""),"Executive Leadership &amp; Human Resources")</f>
        <v>Executive Leadership &amp; Human Resources</v>
      </c>
      <c r="M7" s="338" t="str">
        <f ca="1">IFERROR(__xludf.DUMMYFUNCTION("""COMPUTED_VALUE"""),"1. Provide mentorship, sponsorship, and executive coaching for high-potential women. 
2. Ensure transparent promotions and monitor gender representation in leadership. 
3. Create structured pathways and career acceleration programs for women in senior rol"&amp;"es.")</f>
        <v>1. Provide mentorship, sponsorship, and executive coaching for high-potential women. 
2. Ensure transparent promotions and monitor gender representation in leadership. 
3. Create structured pathways and career acceleration programs for women in senior roles.</v>
      </c>
    </row>
    <row r="8" spans="1:13" ht="86.25" customHeight="1">
      <c r="A8" s="337" t="str">
        <f ca="1">IFERROR(__xludf.DUMMYFUNCTION("""COMPUTED_VALUE"""),"Gender-Aware Adopter")</f>
        <v>Gender-Aware Adopter</v>
      </c>
      <c r="B8" s="338" t="str">
        <f ca="1">IFERROR(__xludf.DUMMYFUNCTION("""COMPUTED_VALUE"""),"Firm-Level")</f>
        <v>Firm-Level</v>
      </c>
      <c r="C8" s="338" t="str">
        <f ca="1">IFERROR(__xludf.DUMMYFUNCTION("""COMPUTED_VALUE"""),"Enhance women representation in board")</f>
        <v>Enhance women representation in board</v>
      </c>
      <c r="D8" s="338" t="str">
        <f ca="1">IFERROR(__xludf.DUMMYFUNCTION("""COMPUTED_VALUE"""),"$$$")</f>
        <v>$$$</v>
      </c>
      <c r="E8" s="338" t="str">
        <f ca="1">IFERROR(__xludf.DUMMYFUNCTION("""COMPUTED_VALUE"""),"Percentage of women on boards")</f>
        <v>Percentage of women on boards</v>
      </c>
      <c r="F8" s="338" t="str">
        <f ca="1">IFERROR(__xludf.DUMMYFUNCTION("""COMPUTED_VALUE"""),"(Number of Women in Board/Total Board Members)x100")</f>
        <v>(Number of Women in Board/Total Board Members)x100</v>
      </c>
      <c r="G8" s="338" t="str">
        <f ca="1">IFERROR(__xludf.DUMMYFUNCTION("""COMPUTED_VALUE"""),"At least 30%")</f>
        <v>At least 30%</v>
      </c>
      <c r="H8" s="339" t="str">
        <f ca="1">IFERROR(__xludf.DUMMYFUNCTION("""COMPUTED_VALUE"""),"")</f>
        <v/>
      </c>
      <c r="I8" s="339" t="str">
        <f ca="1">IFERROR(__xludf.DUMMYFUNCTION("""COMPUTED_VALUE"""),"")</f>
        <v/>
      </c>
      <c r="J8" s="338" t="str">
        <f ca="1">IFERROR(__xludf.DUMMYFUNCTION("""COMPUTED_VALUE"""),"Annually")</f>
        <v>Annually</v>
      </c>
      <c r="K8" s="338" t="str">
        <f ca="1">IFERROR(__xludf.DUMMYFUNCTION("""COMPUTED_VALUE"""),"")</f>
        <v/>
      </c>
      <c r="L8" s="338" t="str">
        <f ca="1">IFERROR(__xludf.DUMMYFUNCTION("""COMPUTED_VALUE"""),"Board Nominating Committee, Board of Directors")</f>
        <v>Board Nominating Committee, Board of Directors</v>
      </c>
      <c r="M8" s="338" t="str">
        <f ca="1">IFERROR(__xludf.DUMMYFUNCTION("""COMPUTED_VALUE"""),"1. Set at least 30% representation targets for women in executive and board roles. 
2. Ensure the board includes qualified women through diverse hiring networks. 
")</f>
        <v xml:space="preserve">1. Set at least 30% representation targets for women in executive and board roles. 
2. Ensure the board includes qualified women through diverse hiring networks. 
</v>
      </c>
    </row>
    <row r="9" spans="1:13" ht="125.25" customHeight="1">
      <c r="A9" s="337" t="str">
        <f ca="1">IFERROR(__xludf.DUMMYFUNCTION("""COMPUTED_VALUE"""),"Gender-Aware Adopter")</f>
        <v>Gender-Aware Adopter</v>
      </c>
      <c r="B9" s="338" t="str">
        <f ca="1">IFERROR(__xludf.DUMMYFUNCTION("""COMPUTED_VALUE"""),"Firm-Level")</f>
        <v>Firm-Level</v>
      </c>
      <c r="C9" s="338" t="str">
        <f ca="1">IFERROR(__xludf.DUMMYFUNCTION("""COMPUTED_VALUE"""),"Enhance women representation in executive teams")</f>
        <v>Enhance women representation in executive teams</v>
      </c>
      <c r="D9" s="338" t="str">
        <f ca="1">IFERROR(__xludf.DUMMYFUNCTION("""COMPUTED_VALUE"""),"$$$")</f>
        <v>$$$</v>
      </c>
      <c r="E9" s="338" t="str">
        <f ca="1">IFERROR(__xludf.DUMMYFUNCTION("""COMPUTED_VALUE"""),"Percentage of women on executive teams²")</f>
        <v>Percentage of women on executive teams²</v>
      </c>
      <c r="F9" s="338" t="str">
        <f ca="1">IFERROR(__xludf.DUMMYFUNCTION("""COMPUTED_VALUE"""),"(Number of Women in Executive Roles or Partners/Total Executive Roles)x100")</f>
        <v>(Number of Women in Executive Roles or Partners/Total Executive Roles)x100</v>
      </c>
      <c r="G9" s="338" t="str">
        <f ca="1">IFERROR(__xludf.DUMMYFUNCTION("""COMPUTED_VALUE"""),"At least 30%")</f>
        <v>At least 30%</v>
      </c>
      <c r="H9" s="339" t="str">
        <f ca="1">IFERROR(__xludf.DUMMYFUNCTION("""COMPUTED_VALUE"""),"")</f>
        <v/>
      </c>
      <c r="I9" s="339" t="str">
        <f ca="1">IFERROR(__xludf.DUMMYFUNCTION("""COMPUTED_VALUE"""),"")</f>
        <v/>
      </c>
      <c r="J9" s="338" t="str">
        <f ca="1">IFERROR(__xludf.DUMMYFUNCTION("""COMPUTED_VALUE"""),"Annually")</f>
        <v>Annually</v>
      </c>
      <c r="K9" s="338" t="str">
        <f ca="1">IFERROR(__xludf.DUMMYFUNCTION("""COMPUTED_VALUE"""),"")</f>
        <v/>
      </c>
      <c r="L9" s="338" t="str">
        <f ca="1">IFERROR(__xludf.DUMMYFUNCTION("""COMPUTED_VALUE"""),"Human Resources, Board of Directors, Executive Leadership")</f>
        <v>Human Resources, Board of Directors, Executive Leadership</v>
      </c>
      <c r="M9" s="338" t="str">
        <f ca="1">IFERROR(__xludf.DUMMYFUNCTION("""COMPUTED_VALUE"""),"1. Identify high-potential women and offer executive coaching. 
2. Tie bonuses and incentives to gender diversity progress. 
")</f>
        <v xml:space="preserve">1. Identify high-potential women and offer executive coaching. 
2. Tie bonuses and incentives to gender diversity progress. 
</v>
      </c>
    </row>
    <row r="10" spans="1:13" ht="186.75" customHeight="1">
      <c r="A10" s="337" t="str">
        <f ca="1">IFERROR(__xludf.DUMMYFUNCTION("""COMPUTED_VALUE"""),"Gender-Responsive Implementer")</f>
        <v>Gender-Responsive Implementer</v>
      </c>
      <c r="B10" s="338" t="str">
        <f ca="1">IFERROR(__xludf.DUMMYFUNCTION("""COMPUTED_VALUE"""),"Firm-Level")</f>
        <v>Firm-Level</v>
      </c>
      <c r="C10" s="338" t="str">
        <f ca="1">IFERROR(__xludf.DUMMYFUNCTION("""COMPUTED_VALUE"""),"Increase women’s representation in senior management")</f>
        <v>Increase women’s representation in senior management</v>
      </c>
      <c r="D10" s="338" t="str">
        <f ca="1">IFERROR(__xludf.DUMMYFUNCTION("""COMPUTED_VALUE"""),"$$")</f>
        <v>$$</v>
      </c>
      <c r="E10" s="338" t="str">
        <f ca="1">IFERROR(__xludf.DUMMYFUNCTION("""COMPUTED_VALUE"""),"Percent of women in senior management³")</f>
        <v>Percent of women in senior management³</v>
      </c>
      <c r="F10" s="338" t="str">
        <f ca="1">IFERROR(__xludf.DUMMYFUNCTION("""COMPUTED_VALUE"""),"(Number of Women in Senior Management / Total Senior Management) × 100")</f>
        <v>(Number of Women in Senior Management / Total Senior Management) × 100</v>
      </c>
      <c r="G10" s="338" t="str">
        <f ca="1">IFERROR(__xludf.DUMMYFUNCTION("""COMPUTED_VALUE"""),"At least 30%")</f>
        <v>At least 30%</v>
      </c>
      <c r="H10" s="339" t="str">
        <f ca="1">IFERROR(__xludf.DUMMYFUNCTION("""COMPUTED_VALUE"""),"")</f>
        <v/>
      </c>
      <c r="I10" s="339" t="str">
        <f ca="1">IFERROR(__xludf.DUMMYFUNCTION("""COMPUTED_VALUE"""),"")</f>
        <v/>
      </c>
      <c r="J10" s="338" t="str">
        <f ca="1">IFERROR(__xludf.DUMMYFUNCTION("""COMPUTED_VALUE"""),"Annually")</f>
        <v>Annually</v>
      </c>
      <c r="K10" s="338" t="str">
        <f ca="1">IFERROR(__xludf.DUMMYFUNCTION("""COMPUTED_VALUE"""),"")</f>
        <v/>
      </c>
      <c r="L10" s="338" t="str">
        <f ca="1">IFERROR(__xludf.DUMMYFUNCTION("""COMPUTED_VALUE"""),"Human Resources &amp; Executive Leadership")</f>
        <v>Human Resources &amp; Executive Leadership</v>
      </c>
      <c r="M10" s="338" t="str">
        <f ca="1">IFERROR(__xludf.DUMMYFUNCTION("""COMPUTED_VALUE"""),"1. Implement executive sponsorship and mentorship programs for women. 
2. Tie executive bonuses to gender diversity targets. 
3. Require gender-inclusive succession planning.")</f>
        <v>1. Implement executive sponsorship and mentorship programs for women. 
2. Tie executive bonuses to gender diversity targets. 
3. Require gender-inclusive succession planning.</v>
      </c>
    </row>
    <row r="11" spans="1:13" ht="52">
      <c r="A11" s="337" t="str">
        <f ca="1">IFERROR(__xludf.DUMMYFUNCTION("""COMPUTED_VALUE"""),"Gender-Responsive Implementer")</f>
        <v>Gender-Responsive Implementer</v>
      </c>
      <c r="B11" s="338" t="str">
        <f ca="1">IFERROR(__xludf.DUMMYFUNCTION("""COMPUTED_VALUE"""),"Firm-Level")</f>
        <v>Firm-Level</v>
      </c>
      <c r="C11" s="338" t="str">
        <f ca="1">IFERROR(__xludf.DUMMYFUNCTION("""COMPUTED_VALUE"""),"Increase women’s representation in middle management")</f>
        <v>Increase women’s representation in middle management</v>
      </c>
      <c r="D11" s="338" t="str">
        <f ca="1">IFERROR(__xludf.DUMMYFUNCTION("""COMPUTED_VALUE"""),"$$")</f>
        <v>$$</v>
      </c>
      <c r="E11" s="338" t="str">
        <f ca="1">IFERROR(__xludf.DUMMYFUNCTION("""COMPUTED_VALUE"""),"Percent of women in middle management⁴")</f>
        <v>Percent of women in middle management⁴</v>
      </c>
      <c r="F11" s="338" t="str">
        <f ca="1">IFERROR(__xludf.DUMMYFUNCTION("""COMPUTED_VALUE"""),"(Number of Women in Middle Management / Total Middle Management) × 100")</f>
        <v>(Number of Women in Middle Management / Total Middle Management) × 100</v>
      </c>
      <c r="G11" s="338" t="str">
        <f ca="1">IFERROR(__xludf.DUMMYFUNCTION("""COMPUTED_VALUE"""),"At least 30%")</f>
        <v>At least 30%</v>
      </c>
      <c r="H11" s="339" t="str">
        <f ca="1">IFERROR(__xludf.DUMMYFUNCTION("""COMPUTED_VALUE"""),"")</f>
        <v/>
      </c>
      <c r="I11" s="339" t="str">
        <f ca="1">IFERROR(__xludf.DUMMYFUNCTION("""COMPUTED_VALUE"""),"")</f>
        <v/>
      </c>
      <c r="J11" s="338" t="str">
        <f ca="1">IFERROR(__xludf.DUMMYFUNCTION("""COMPUTED_VALUE"""),"Annually")</f>
        <v>Annually</v>
      </c>
      <c r="K11" s="338" t="str">
        <f ca="1">IFERROR(__xludf.DUMMYFUNCTION("""COMPUTED_VALUE"""),"")</f>
        <v/>
      </c>
      <c r="L11" s="338" t="str">
        <f ca="1">IFERROR(__xludf.DUMMYFUNCTION("""COMPUTED_VALUE"""),"Human Resources and Department Heads")</f>
        <v>Human Resources and Department Heads</v>
      </c>
      <c r="M11" s="338" t="str">
        <f ca="1">IFERROR(__xludf.DUMMYFUNCTION("""COMPUTED_VALUE"""),"1. Introduce leadership training for women in middle management. 
2. Develop mentorship &amp; sponsorship initiatives for high-potential women.")</f>
        <v>1. Introduce leadership training for women in middle management. 
2. Develop mentorship &amp; sponsorship initiatives for high-potential women.</v>
      </c>
    </row>
    <row r="12" spans="1:13" ht="78">
      <c r="A12" s="337" t="str">
        <f ca="1">IFERROR(__xludf.DUMMYFUNCTION("""COMPUTED_VALUE"""),"Gender-Responsive Implementer")</f>
        <v>Gender-Responsive Implementer</v>
      </c>
      <c r="B12" s="338" t="str">
        <f ca="1">IFERROR(__xludf.DUMMYFUNCTION("""COMPUTED_VALUE"""),"Firm-Level")</f>
        <v>Firm-Level</v>
      </c>
      <c r="C12" s="338" t="str">
        <f ca="1">IFERROR(__xludf.DUMMYFUNCTION("""COMPUTED_VALUE"""),"Increase women’s representation in non-managerial roles")</f>
        <v>Increase women’s representation in non-managerial roles</v>
      </c>
      <c r="D12" s="338" t="str">
        <f ca="1">IFERROR(__xludf.DUMMYFUNCTION("""COMPUTED_VALUE"""),"$")</f>
        <v>$</v>
      </c>
      <c r="E12" s="338" t="str">
        <f ca="1">IFERROR(__xludf.DUMMYFUNCTION("""COMPUTED_VALUE"""),"Percent of women in non-managerial staff⁵")</f>
        <v>Percent of women in non-managerial staff⁵</v>
      </c>
      <c r="F12" s="338" t="str">
        <f ca="1">IFERROR(__xludf.DUMMYFUNCTION("""COMPUTED_VALUE"""),"(Number of Women in Non-Managerial Staff / Total Non-Managerial Staff) × 100")</f>
        <v>(Number of Women in Non-Managerial Staff / Total Non-Managerial Staff) × 100</v>
      </c>
      <c r="G12" s="338" t="str">
        <f ca="1">IFERROR(__xludf.DUMMYFUNCTION("""COMPUTED_VALUE"""),"At least 40%")</f>
        <v>At least 40%</v>
      </c>
      <c r="H12" s="339" t="str">
        <f ca="1">IFERROR(__xludf.DUMMYFUNCTION("""COMPUTED_VALUE"""),"")</f>
        <v/>
      </c>
      <c r="I12" s="339" t="str">
        <f ca="1">IFERROR(__xludf.DUMMYFUNCTION("""COMPUTED_VALUE"""),"")</f>
        <v/>
      </c>
      <c r="J12" s="338" t="str">
        <f ca="1">IFERROR(__xludf.DUMMYFUNCTION("""COMPUTED_VALUE"""),"Annually")</f>
        <v>Annually</v>
      </c>
      <c r="K12" s="338" t="str">
        <f ca="1">IFERROR(__xludf.DUMMYFUNCTION("""COMPUTED_VALUE"""),"")</f>
        <v/>
      </c>
      <c r="L12" s="338" t="str">
        <f ca="1">IFERROR(__xludf.DUMMYFUNCTION("""COMPUTED_VALUE"""),"Human Resources ")</f>
        <v xml:space="preserve">Human Resources </v>
      </c>
      <c r="M12" s="338" t="str">
        <f ca="1">IFERROR(__xludf.DUMMYFUNCTION("""COMPUTED_VALUE"""),"1. Set gender-balanced hiring quotas for entry-level positions. 
2. Ensure gender-inclusive job descriptions and recruitment practices. 
3. Implement family-friendly workplace policies to improve retention.")</f>
        <v>1. Set gender-balanced hiring quotas for entry-level positions. 
2. Ensure gender-inclusive job descriptions and recruitment practices. 
3. Implement family-friendly workplace policies to improve retention.</v>
      </c>
    </row>
    <row r="13" spans="1:13" ht="91">
      <c r="A13" s="337" t="str">
        <f ca="1">IFERROR(__xludf.DUMMYFUNCTION("""COMPUTED_VALUE"""),"Gender-Responsive Implementer")</f>
        <v>Gender-Responsive Implementer</v>
      </c>
      <c r="B13" s="338" t="str">
        <f ca="1">IFERROR(__xludf.DUMMYFUNCTION("""COMPUTED_VALUE"""),"Firm-Level")</f>
        <v>Firm-Level</v>
      </c>
      <c r="C13" s="338" t="str">
        <f ca="1">IFERROR(__xludf.DUMMYFUNCTION("""COMPUTED_VALUE"""),"Ensure pay equity")</f>
        <v>Ensure pay equity</v>
      </c>
      <c r="D13" s="338" t="str">
        <f ca="1">IFERROR(__xludf.DUMMYFUNCTION("""COMPUTED_VALUE"""),"$$$")</f>
        <v>$$$</v>
      </c>
      <c r="E13" s="338" t="str">
        <f ca="1">IFERROR(__xludf.DUMMYFUNCTION("""COMPUTED_VALUE"""),"Average Ratio of women’s salary to men’s salary")</f>
        <v>Average Ratio of women’s salary to men’s salary</v>
      </c>
      <c r="F13" s="338" t="str">
        <f ca="1">IFERROR(__xludf.DUMMYFUNCTION("""COMPUTED_VALUE"""),"1. Median Salary of Women in a role/ Median Salary of Men in the same role 
2. Average of this ratio across all roles in the firm")</f>
        <v>1. Median Salary of Women in a role/ Median Salary of Men in the same role 
2. Average of this ratio across all roles in the firm</v>
      </c>
      <c r="G13" s="338">
        <f ca="1">IFERROR(__xludf.DUMMYFUNCTION("""COMPUTED_VALUE"""),1)</f>
        <v>1</v>
      </c>
      <c r="H13" s="339" t="str">
        <f ca="1">IFERROR(__xludf.DUMMYFUNCTION("""COMPUTED_VALUE"""),"")</f>
        <v/>
      </c>
      <c r="I13" s="339" t="str">
        <f ca="1">IFERROR(__xludf.DUMMYFUNCTION("""COMPUTED_VALUE"""),"")</f>
        <v/>
      </c>
      <c r="J13" s="338" t="str">
        <f ca="1">IFERROR(__xludf.DUMMYFUNCTION("""COMPUTED_VALUE"""),"Annually")</f>
        <v>Annually</v>
      </c>
      <c r="K13" s="338" t="str">
        <f ca="1">IFERROR(__xludf.DUMMYFUNCTION("""COMPUTED_VALUE"""),"")</f>
        <v/>
      </c>
      <c r="L13" s="338" t="str">
        <f ca="1">IFERROR(__xludf.DUMMYFUNCTION("""COMPUTED_VALUE"""),"Human Resources")</f>
        <v>Human Resources</v>
      </c>
      <c r="M13" s="338" t="str">
        <f ca="1">IFERROR(__xludf.DUMMYFUNCTION("""COMPUTED_VALUE"""),"1. Perform annual salary audits to identify and address gender pay gaps. 
2. Implement performance-based compensation and promotion frameworks to eliminate bias. 
3. Disclose salary ranges in job postings and integrate pay equity into DEI goals.
")</f>
        <v xml:space="preserve">1. Perform annual salary audits to identify and address gender pay gaps. 
2. Implement performance-based compensation and promotion frameworks to eliminate bias. 
3. Disclose salary ranges in job postings and integrate pay equity into DEI goals.
</v>
      </c>
    </row>
    <row r="14" spans="1:13" ht="26">
      <c r="A14" s="337" t="str">
        <f ca="1">IFERROR(__xludf.DUMMYFUNCTION("""COMPUTED_VALUE"""),"Gender-Responsive Implementer")</f>
        <v>Gender-Responsive Implementer</v>
      </c>
      <c r="B14" s="338" t="str">
        <f ca="1">IFERROR(__xludf.DUMMYFUNCTION("""COMPUTED_VALUE"""),"Recruitment")</f>
        <v>Recruitment</v>
      </c>
      <c r="C14" s="338" t="str">
        <f ca="1">IFERROR(__xludf.DUMMYFUNCTION("""COMPUTED_VALUE"""),"Improve gender diversity in hiring")</f>
        <v>Improve gender diversity in hiring</v>
      </c>
      <c r="D14" s="338" t="str">
        <f ca="1">IFERROR(__xludf.DUMMYFUNCTION("""COMPUTED_VALUE"""),"$$")</f>
        <v>$$</v>
      </c>
      <c r="E14" s="338" t="str">
        <f ca="1">IFERROR(__xludf.DUMMYFUNCTION("""COMPUTED_VALUE"""),"Percentage of new hires – women")</f>
        <v>Percentage of new hires – women</v>
      </c>
      <c r="F14" s="338" t="str">
        <f ca="1">IFERROR(__xludf.DUMMYFUNCTION("""COMPUTED_VALUE"""),"(Number of Women New Hires / Total New Hires) × 100")</f>
        <v>(Number of Women New Hires / Total New Hires) × 100</v>
      </c>
      <c r="G14" s="338" t="str">
        <f ca="1">IFERROR(__xludf.DUMMYFUNCTION("""COMPUTED_VALUE"""),"At least 50%")</f>
        <v>At least 50%</v>
      </c>
      <c r="H14" s="339" t="str">
        <f ca="1">IFERROR(__xludf.DUMMYFUNCTION("""COMPUTED_VALUE"""),"")</f>
        <v/>
      </c>
      <c r="I14" s="340" t="str">
        <f ca="1">IFERROR(__xludf.DUMMYFUNCTION("""COMPUTED_VALUE"""),"")</f>
        <v/>
      </c>
      <c r="J14" s="340" t="str">
        <f ca="1">IFERROR(__xludf.DUMMYFUNCTION("""COMPUTED_VALUE"""),"Quarterly")</f>
        <v>Quarterly</v>
      </c>
      <c r="K14" s="340" t="str">
        <f ca="1">IFERROR(__xludf.DUMMYFUNCTION("""COMPUTED_VALUE"""),"")</f>
        <v/>
      </c>
      <c r="L14" s="340" t="str">
        <f ca="1">IFERROR(__xludf.DUMMYFUNCTION("""COMPUTED_VALUE"""),"Human Resources")</f>
        <v>Human Resources</v>
      </c>
      <c r="M14" s="340" t="str">
        <f ca="1">IFERROR(__xludf.DUMMYFUNCTION("""COMPUTED_VALUE"""),"1. Require at least one woman per panel. 
2. Set gender hiring targets and refine strategies based on quarterly data. 
3. Conduct biannual audits and monitor compliance. ")</f>
        <v xml:space="preserve">1. Require at least one woman per panel. 
2. Set gender hiring targets and refine strategies based on quarterly data. 
3. Conduct biannual audits and monitor compliance. </v>
      </c>
    </row>
    <row r="15" spans="1:13" ht="39">
      <c r="A15" s="337" t="str">
        <f ca="1">IFERROR(__xludf.DUMMYFUNCTION("""COMPUTED_VALUE"""),"Gender-Responsive Implementer")</f>
        <v>Gender-Responsive Implementer</v>
      </c>
      <c r="B15" s="338" t="str">
        <f ca="1">IFERROR(__xludf.DUMMYFUNCTION("""COMPUTED_VALUE"""),"Retention")</f>
        <v>Retention</v>
      </c>
      <c r="C15" s="338" t="str">
        <f ca="1">IFERROR(__xludf.DUMMYFUNCTION("""COMPUTED_VALUE"""),"Improve retention of employees after parental leave")</f>
        <v>Improve retention of employees after parental leave</v>
      </c>
      <c r="D15" s="338" t="str">
        <f ca="1">IFERROR(__xludf.DUMMYFUNCTION("""COMPUTED_VALUE"""),"$$")</f>
        <v>$$</v>
      </c>
      <c r="E15" s="338" t="str">
        <f ca="1">IFERROR(__xludf.DUMMYFUNCTION("""COMPUTED_VALUE"""),"Retention rate of women FTE employees who took parental leave")</f>
        <v>Retention rate of women FTE employees who took parental leave</v>
      </c>
      <c r="F15" s="338" t="str">
        <f ca="1">IFERROR(__xludf.DUMMYFUNCTION("""COMPUTED_VALUE"""),"(Number of Women Returning After Parental Leave / Total Women Taking Leave) × 100")</f>
        <v>(Number of Women Returning After Parental Leave / Total Women Taking Leave) × 100</v>
      </c>
      <c r="G15" s="338" t="str">
        <f ca="1">IFERROR(__xludf.DUMMYFUNCTION("""COMPUTED_VALUE"""),"At least 90%")</f>
        <v>At least 90%</v>
      </c>
      <c r="H15" s="339" t="str">
        <f ca="1">IFERROR(__xludf.DUMMYFUNCTION("""COMPUTED_VALUE"""),"")</f>
        <v/>
      </c>
      <c r="I15" s="340" t="str">
        <f ca="1">IFERROR(__xludf.DUMMYFUNCTION("""COMPUTED_VALUE"""),"")</f>
        <v/>
      </c>
      <c r="J15" s="340" t="str">
        <f ca="1">IFERROR(__xludf.DUMMYFUNCTION("""COMPUTED_VALUE"""),"Biannually")</f>
        <v>Biannually</v>
      </c>
      <c r="K15" s="340" t="str">
        <f ca="1">IFERROR(__xludf.DUMMYFUNCTION("""COMPUTED_VALUE"""),"")</f>
        <v/>
      </c>
      <c r="L15" s="340" t="str">
        <f ca="1">IFERROR(__xludf.DUMMYFUNCTION("""COMPUTED_VALUE"""),"Human Resources")</f>
        <v>Human Resources</v>
      </c>
      <c r="M15" s="340" t="str">
        <f ca="1">IFERROR(__xludf.DUMMYFUNCTION("""COMPUTED_VALUE"""),"1. Offer phased return options and role adjustments to ease the transition back to work. 
2. Provide parental support benefits to reduce barriers for working parents. 
3. Establish mentorship and re-onboarding programs to help returning parents stay on ca"&amp;"reer tracks.")</f>
        <v>1. Offer phased return options and role adjustments to ease the transition back to work. 
2. Provide parental support benefits to reduce barriers for working parents. 
3. Establish mentorship and re-onboarding programs to help returning parents stay on career tracks.</v>
      </c>
    </row>
    <row r="16" spans="1:13" ht="13">
      <c r="A16" s="337"/>
      <c r="B16" s="338"/>
      <c r="C16" s="338"/>
      <c r="D16" s="338"/>
      <c r="E16" s="338"/>
      <c r="F16" s="338"/>
      <c r="G16" s="338"/>
      <c r="H16" s="339"/>
      <c r="I16" s="340"/>
      <c r="J16" s="340"/>
      <c r="K16" s="340"/>
      <c r="L16" s="340"/>
      <c r="M16" s="340"/>
    </row>
    <row r="17" spans="2:13" ht="13">
      <c r="B17" s="338"/>
      <c r="C17" s="338"/>
      <c r="D17" s="338"/>
      <c r="E17" s="338"/>
      <c r="F17" s="338"/>
      <c r="G17" s="338"/>
      <c r="H17" s="339"/>
      <c r="I17" s="340"/>
      <c r="J17" s="340"/>
      <c r="K17" s="340"/>
      <c r="L17" s="340"/>
      <c r="M17" s="340"/>
    </row>
    <row r="18" spans="2:13" ht="13">
      <c r="B18" s="338"/>
      <c r="C18" s="338"/>
      <c r="D18" s="338"/>
      <c r="E18" s="338"/>
      <c r="F18" s="338"/>
      <c r="G18" s="338"/>
      <c r="H18" s="339"/>
      <c r="I18" s="340"/>
      <c r="J18" s="340"/>
      <c r="K18" s="340"/>
      <c r="L18" s="340"/>
      <c r="M18" s="340"/>
    </row>
    <row r="19" spans="2:13" ht="13">
      <c r="B19" s="338"/>
      <c r="C19" s="338"/>
      <c r="D19" s="338"/>
      <c r="E19" s="338"/>
      <c r="F19" s="338"/>
      <c r="G19" s="338"/>
      <c r="H19" s="339"/>
      <c r="I19" s="340"/>
      <c r="J19" s="340"/>
      <c r="K19" s="340"/>
      <c r="L19" s="340"/>
      <c r="M19" s="340"/>
    </row>
    <row r="20" spans="2:13" ht="13">
      <c r="B20" s="338"/>
      <c r="C20" s="338"/>
      <c r="D20" s="338"/>
      <c r="E20" s="338"/>
      <c r="F20" s="338"/>
      <c r="G20" s="338"/>
      <c r="H20" s="339"/>
      <c r="I20" s="340"/>
      <c r="J20" s="340"/>
      <c r="K20" s="340"/>
      <c r="L20" s="340"/>
      <c r="M20" s="340"/>
    </row>
    <row r="21" spans="2:13" ht="13">
      <c r="B21" s="338"/>
      <c r="C21" s="338"/>
      <c r="D21" s="338"/>
      <c r="E21" s="338"/>
      <c r="F21" s="338"/>
      <c r="G21" s="338"/>
      <c r="H21" s="339"/>
      <c r="I21" s="340"/>
      <c r="J21" s="340"/>
      <c r="K21" s="340"/>
      <c r="L21" s="340"/>
      <c r="M21" s="340"/>
    </row>
    <row r="22" spans="2:13" ht="13">
      <c r="B22" s="338"/>
      <c r="C22" s="338"/>
      <c r="D22" s="338"/>
      <c r="E22" s="338"/>
      <c r="F22" s="338"/>
      <c r="G22" s="338"/>
      <c r="H22" s="339"/>
      <c r="I22" s="340"/>
      <c r="J22" s="340"/>
      <c r="K22" s="340"/>
      <c r="L22" s="340"/>
      <c r="M22" s="340"/>
    </row>
    <row r="23" spans="2:13" ht="13">
      <c r="B23" s="338"/>
      <c r="C23" s="338"/>
      <c r="D23" s="338"/>
      <c r="E23" s="338"/>
      <c r="F23" s="338"/>
      <c r="G23" s="338"/>
      <c r="H23" s="339"/>
      <c r="I23" s="340"/>
      <c r="J23" s="340"/>
      <c r="K23" s="340"/>
      <c r="L23" s="340"/>
      <c r="M23" s="340"/>
    </row>
    <row r="24" spans="2:13" ht="13">
      <c r="B24" s="338"/>
      <c r="C24" s="338"/>
      <c r="D24" s="338"/>
      <c r="E24" s="338"/>
      <c r="F24" s="338"/>
      <c r="G24" s="338"/>
      <c r="H24" s="339"/>
      <c r="I24" s="340"/>
      <c r="J24" s="340"/>
      <c r="K24" s="340"/>
      <c r="L24" s="340"/>
      <c r="M24" s="340"/>
    </row>
    <row r="25" spans="2:13" ht="13">
      <c r="B25" s="338"/>
      <c r="C25" s="338"/>
      <c r="D25" s="338"/>
      <c r="E25" s="338"/>
      <c r="F25" s="338"/>
      <c r="G25" s="338"/>
      <c r="H25" s="339"/>
      <c r="I25" s="340"/>
      <c r="J25" s="340"/>
      <c r="K25" s="340"/>
      <c r="L25" s="340"/>
      <c r="M25" s="340"/>
    </row>
    <row r="26" spans="2:13" ht="13">
      <c r="B26" s="338"/>
      <c r="C26" s="338"/>
      <c r="D26" s="338"/>
      <c r="E26" s="338"/>
      <c r="F26" s="338"/>
      <c r="G26" s="338"/>
      <c r="H26" s="339"/>
      <c r="I26" s="340"/>
      <c r="J26" s="340"/>
      <c r="K26" s="340"/>
      <c r="L26" s="340"/>
      <c r="M26" s="340"/>
    </row>
    <row r="27" spans="2:13" ht="14">
      <c r="B27" s="338"/>
      <c r="C27" s="338"/>
      <c r="D27" s="338"/>
      <c r="E27" s="338"/>
      <c r="F27" s="338"/>
      <c r="G27" s="338"/>
      <c r="H27" s="339"/>
      <c r="I27" s="16"/>
      <c r="J27" s="17"/>
      <c r="K27" s="17"/>
      <c r="L27" s="17"/>
      <c r="M27" s="17"/>
    </row>
    <row r="28" spans="2:13" ht="14">
      <c r="B28" s="338"/>
      <c r="C28" s="338"/>
      <c r="D28" s="338"/>
      <c r="E28" s="338"/>
      <c r="F28" s="338"/>
      <c r="G28" s="338"/>
      <c r="H28" s="339"/>
      <c r="I28" s="16"/>
      <c r="J28" s="17"/>
      <c r="K28" s="17"/>
      <c r="L28" s="17"/>
      <c r="M28" s="17"/>
    </row>
    <row r="29" spans="2:13" ht="14">
      <c r="B29" s="338"/>
      <c r="C29" s="338"/>
      <c r="D29" s="338"/>
      <c r="E29" s="338"/>
      <c r="F29" s="338"/>
      <c r="G29" s="338"/>
      <c r="H29" s="339"/>
      <c r="I29" s="16"/>
      <c r="J29" s="17"/>
      <c r="K29" s="17"/>
      <c r="L29" s="17"/>
      <c r="M29" s="17"/>
    </row>
    <row r="30" spans="2:13" ht="14">
      <c r="B30" s="338"/>
      <c r="C30" s="338"/>
      <c r="D30" s="338"/>
      <c r="E30" s="338"/>
      <c r="F30" s="338"/>
      <c r="G30" s="338"/>
      <c r="H30" s="339"/>
      <c r="I30" s="16"/>
      <c r="J30" s="17"/>
      <c r="K30" s="17"/>
      <c r="L30" s="17"/>
      <c r="M30" s="17"/>
    </row>
    <row r="31" spans="2:13" ht="14">
      <c r="B31" s="338"/>
      <c r="C31" s="338"/>
      <c r="D31" s="338"/>
      <c r="E31" s="338"/>
      <c r="F31" s="338"/>
      <c r="G31" s="338"/>
      <c r="H31" s="339"/>
      <c r="I31" s="16"/>
      <c r="J31" s="17"/>
      <c r="K31" s="17"/>
      <c r="L31" s="17"/>
      <c r="M31" s="17"/>
    </row>
    <row r="32" spans="2:13" ht="14">
      <c r="B32" s="338"/>
      <c r="C32" s="338"/>
      <c r="D32" s="338"/>
      <c r="E32" s="338"/>
      <c r="F32" s="338"/>
      <c r="G32" s="338"/>
      <c r="H32" s="339"/>
      <c r="I32" s="16"/>
      <c r="J32" s="17"/>
      <c r="K32" s="17"/>
      <c r="L32" s="17"/>
      <c r="M32" s="17"/>
    </row>
    <row r="33" spans="2:13" ht="14">
      <c r="B33" s="338"/>
      <c r="C33" s="338"/>
      <c r="D33" s="338"/>
      <c r="E33" s="338"/>
      <c r="F33" s="338"/>
      <c r="G33" s="338"/>
      <c r="H33" s="339"/>
      <c r="I33" s="16"/>
      <c r="J33" s="17"/>
      <c r="K33" s="17"/>
      <c r="L33" s="17"/>
      <c r="M33" s="17"/>
    </row>
    <row r="34" spans="2:13" ht="14">
      <c r="B34" s="338"/>
      <c r="C34" s="338"/>
      <c r="D34" s="338"/>
      <c r="E34" s="338"/>
      <c r="F34" s="338"/>
      <c r="G34" s="338"/>
      <c r="H34" s="339"/>
      <c r="I34" s="16"/>
      <c r="J34" s="17"/>
      <c r="K34" s="17"/>
      <c r="L34" s="17"/>
      <c r="M34" s="17"/>
    </row>
    <row r="35" spans="2:13" ht="14">
      <c r="B35" s="338"/>
      <c r="C35" s="338"/>
      <c r="D35" s="338"/>
      <c r="E35" s="338"/>
      <c r="F35" s="338"/>
      <c r="G35" s="338"/>
      <c r="H35" s="339"/>
      <c r="I35" s="16"/>
      <c r="J35" s="17"/>
      <c r="K35" s="17"/>
      <c r="L35" s="17"/>
      <c r="M35" s="17"/>
    </row>
    <row r="36" spans="2:13" ht="14">
      <c r="B36" s="338"/>
      <c r="C36" s="338"/>
      <c r="D36" s="338"/>
      <c r="E36" s="338"/>
      <c r="F36" s="338"/>
      <c r="G36" s="338"/>
      <c r="H36" s="339"/>
      <c r="I36" s="16"/>
      <c r="J36" s="17"/>
      <c r="K36" s="17"/>
      <c r="L36" s="17"/>
      <c r="M36" s="17"/>
    </row>
    <row r="37" spans="2:13" ht="14">
      <c r="B37" s="338"/>
      <c r="C37" s="338"/>
      <c r="D37" s="338"/>
      <c r="E37" s="338"/>
      <c r="F37" s="338"/>
      <c r="G37" s="338"/>
      <c r="H37" s="339"/>
      <c r="I37" s="16"/>
      <c r="J37" s="17"/>
      <c r="K37" s="17"/>
      <c r="L37" s="17"/>
      <c r="M37" s="17"/>
    </row>
    <row r="38" spans="2:13" ht="14">
      <c r="B38" s="338"/>
      <c r="C38" s="338"/>
      <c r="D38" s="338"/>
      <c r="E38" s="338"/>
      <c r="F38" s="338"/>
      <c r="G38" s="338"/>
      <c r="H38" s="339"/>
      <c r="I38" s="16"/>
      <c r="J38" s="17"/>
      <c r="K38" s="17"/>
      <c r="L38" s="17"/>
      <c r="M38" s="17"/>
    </row>
    <row r="39" spans="2:13" ht="14">
      <c r="B39" s="338"/>
      <c r="C39" s="338"/>
      <c r="D39" s="338"/>
      <c r="E39" s="338"/>
      <c r="F39" s="338"/>
      <c r="G39" s="338"/>
      <c r="H39" s="339"/>
      <c r="I39" s="16"/>
      <c r="J39" s="17"/>
      <c r="K39" s="17"/>
      <c r="L39" s="17"/>
      <c r="M39" s="17"/>
    </row>
    <row r="40" spans="2:13" ht="14">
      <c r="B40" s="338"/>
      <c r="C40" s="338"/>
      <c r="D40" s="338"/>
      <c r="E40" s="338"/>
      <c r="F40" s="338"/>
      <c r="G40" s="338"/>
      <c r="H40" s="339"/>
      <c r="I40" s="16"/>
      <c r="J40" s="17"/>
      <c r="K40" s="17"/>
      <c r="L40" s="17"/>
      <c r="M40" s="17"/>
    </row>
    <row r="41" spans="2:13" ht="14">
      <c r="B41" s="338"/>
      <c r="C41" s="338"/>
      <c r="D41" s="338"/>
      <c r="E41" s="338"/>
      <c r="F41" s="338"/>
      <c r="G41" s="338"/>
      <c r="H41" s="339"/>
      <c r="I41" s="16"/>
      <c r="J41" s="17"/>
      <c r="K41" s="17"/>
      <c r="L41" s="17"/>
      <c r="M41" s="17"/>
    </row>
    <row r="42" spans="2:13" ht="14">
      <c r="B42" s="338"/>
      <c r="C42" s="338"/>
      <c r="D42" s="338"/>
      <c r="E42" s="338"/>
      <c r="F42" s="338"/>
      <c r="G42" s="338"/>
      <c r="H42" s="339"/>
      <c r="I42" s="16"/>
      <c r="J42" s="17"/>
      <c r="K42" s="17"/>
      <c r="L42" s="17"/>
      <c r="M42" s="17"/>
    </row>
    <row r="43" spans="2:13" ht="14">
      <c r="B43" s="338"/>
      <c r="C43" s="338"/>
      <c r="D43" s="338"/>
      <c r="E43" s="338"/>
      <c r="F43" s="338"/>
      <c r="G43" s="338"/>
      <c r="H43" s="339"/>
      <c r="I43" s="16"/>
      <c r="J43" s="17"/>
      <c r="K43" s="17"/>
      <c r="L43" s="17"/>
      <c r="M43" s="17"/>
    </row>
    <row r="44" spans="2:13" ht="14">
      <c r="B44" s="338"/>
      <c r="C44" s="338"/>
      <c r="D44" s="338"/>
      <c r="E44" s="338"/>
      <c r="F44" s="338"/>
      <c r="G44" s="338"/>
      <c r="H44" s="339"/>
      <c r="I44" s="16"/>
      <c r="J44" s="17"/>
      <c r="K44" s="17"/>
      <c r="L44" s="17"/>
      <c r="M44" s="17"/>
    </row>
    <row r="45" spans="2:13" ht="14">
      <c r="B45" s="338"/>
      <c r="C45" s="338"/>
      <c r="D45" s="338"/>
      <c r="E45" s="338"/>
      <c r="F45" s="338"/>
      <c r="G45" s="338"/>
      <c r="H45" s="339"/>
      <c r="I45" s="16"/>
      <c r="J45" s="17"/>
      <c r="K45" s="17"/>
      <c r="L45" s="17"/>
      <c r="M45" s="17"/>
    </row>
    <row r="46" spans="2:13" ht="14">
      <c r="B46" s="338"/>
      <c r="C46" s="338"/>
      <c r="D46" s="338"/>
      <c r="E46" s="338"/>
      <c r="F46" s="338"/>
      <c r="G46" s="338"/>
      <c r="H46" s="339"/>
      <c r="I46" s="16"/>
      <c r="J46" s="17"/>
      <c r="K46" s="17"/>
      <c r="L46" s="17"/>
      <c r="M46" s="17"/>
    </row>
    <row r="47" spans="2:13" ht="14">
      <c r="B47" s="338"/>
      <c r="C47" s="338"/>
      <c r="D47" s="338"/>
      <c r="E47" s="338"/>
      <c r="F47" s="338"/>
      <c r="G47" s="338"/>
      <c r="H47" s="339"/>
      <c r="I47" s="16"/>
      <c r="J47" s="17"/>
      <c r="K47" s="17"/>
      <c r="L47" s="17"/>
      <c r="M47" s="17"/>
    </row>
    <row r="48" spans="2:13" ht="14">
      <c r="B48" s="338"/>
      <c r="C48" s="338"/>
      <c r="D48" s="338"/>
      <c r="E48" s="338"/>
      <c r="F48" s="338"/>
      <c r="G48" s="338"/>
      <c r="H48" s="339"/>
      <c r="I48" s="16"/>
      <c r="J48" s="17"/>
      <c r="K48" s="17"/>
      <c r="L48" s="17"/>
      <c r="M48" s="17"/>
    </row>
    <row r="49" spans="2:13" ht="14">
      <c r="B49" s="338"/>
      <c r="C49" s="338"/>
      <c r="D49" s="338"/>
      <c r="E49" s="338"/>
      <c r="F49" s="338"/>
      <c r="G49" s="338"/>
      <c r="H49" s="339"/>
      <c r="I49" s="16"/>
      <c r="J49" s="17"/>
      <c r="K49" s="17"/>
      <c r="L49" s="17"/>
      <c r="M49" s="17"/>
    </row>
    <row r="50" spans="2:13" ht="14">
      <c r="B50" s="338"/>
      <c r="C50" s="338"/>
      <c r="D50" s="338"/>
      <c r="E50" s="338"/>
      <c r="F50" s="338"/>
      <c r="G50" s="338"/>
      <c r="H50" s="339"/>
      <c r="I50" s="16"/>
      <c r="J50" s="17"/>
      <c r="K50" s="17"/>
      <c r="L50" s="17"/>
      <c r="M50" s="17"/>
    </row>
    <row r="51" spans="2:13" ht="14">
      <c r="B51" s="338"/>
      <c r="C51" s="338"/>
      <c r="D51" s="338"/>
      <c r="E51" s="338"/>
      <c r="F51" s="338"/>
      <c r="G51" s="338"/>
      <c r="H51" s="339"/>
      <c r="I51" s="16"/>
      <c r="J51" s="17"/>
      <c r="K51" s="17"/>
      <c r="L51" s="17"/>
      <c r="M51" s="17"/>
    </row>
    <row r="52" spans="2:13" ht="14">
      <c r="B52" s="338"/>
      <c r="C52" s="338"/>
      <c r="D52" s="338"/>
      <c r="E52" s="338"/>
      <c r="F52" s="338"/>
      <c r="G52" s="338"/>
      <c r="H52" s="339"/>
      <c r="I52" s="16"/>
      <c r="J52" s="17"/>
      <c r="K52" s="17"/>
      <c r="L52" s="17"/>
      <c r="M52" s="17"/>
    </row>
    <row r="53" spans="2:13" ht="14">
      <c r="B53" s="338"/>
      <c r="C53" s="338"/>
      <c r="D53" s="338"/>
      <c r="E53" s="338"/>
      <c r="F53" s="338"/>
      <c r="G53" s="338"/>
      <c r="H53" s="339"/>
      <c r="I53" s="16"/>
      <c r="J53" s="17"/>
      <c r="K53" s="17"/>
      <c r="L53" s="17"/>
      <c r="M53" s="17"/>
    </row>
    <row r="54" spans="2:13" ht="14">
      <c r="B54" s="338"/>
      <c r="C54" s="338"/>
      <c r="D54" s="338"/>
      <c r="E54" s="338"/>
      <c r="F54" s="338"/>
      <c r="G54" s="338"/>
      <c r="H54" s="339"/>
      <c r="I54" s="16"/>
      <c r="J54" s="17"/>
      <c r="K54" s="17"/>
      <c r="L54" s="17"/>
      <c r="M54" s="17"/>
    </row>
    <row r="55" spans="2:13" ht="14">
      <c r="B55" s="338"/>
      <c r="C55" s="338"/>
      <c r="D55" s="338"/>
      <c r="E55" s="338"/>
      <c r="F55" s="338"/>
      <c r="G55" s="338"/>
      <c r="H55" s="339"/>
      <c r="I55" s="16"/>
      <c r="J55" s="17"/>
      <c r="K55" s="17"/>
      <c r="L55" s="17"/>
      <c r="M55" s="17"/>
    </row>
    <row r="56" spans="2:13" ht="14">
      <c r="B56" s="338"/>
      <c r="C56" s="338"/>
      <c r="D56" s="338"/>
      <c r="E56" s="338"/>
      <c r="F56" s="338"/>
      <c r="G56" s="338"/>
      <c r="H56" s="339"/>
      <c r="I56" s="16"/>
      <c r="J56" s="17"/>
      <c r="K56" s="17"/>
      <c r="L56" s="17"/>
      <c r="M56" s="17"/>
    </row>
    <row r="57" spans="2:13" ht="14">
      <c r="B57" s="338"/>
      <c r="C57" s="338"/>
      <c r="D57" s="338"/>
      <c r="E57" s="338"/>
      <c r="F57" s="338"/>
      <c r="G57" s="338"/>
      <c r="H57" s="339"/>
      <c r="I57" s="16"/>
      <c r="J57" s="17"/>
      <c r="K57" s="17"/>
      <c r="L57" s="17"/>
      <c r="M57" s="17"/>
    </row>
    <row r="58" spans="2:13" ht="14">
      <c r="B58" s="338"/>
      <c r="C58" s="338"/>
      <c r="D58" s="338"/>
      <c r="E58" s="338"/>
      <c r="F58" s="338"/>
      <c r="G58" s="338"/>
      <c r="H58" s="339"/>
      <c r="I58" s="16"/>
      <c r="J58" s="17"/>
      <c r="K58" s="17"/>
      <c r="L58" s="17"/>
      <c r="M58" s="17"/>
    </row>
    <row r="59" spans="2:13" ht="14">
      <c r="B59" s="338"/>
      <c r="C59" s="338"/>
      <c r="D59" s="338"/>
      <c r="E59" s="338"/>
      <c r="F59" s="338"/>
      <c r="G59" s="338"/>
      <c r="H59" s="339"/>
      <c r="I59" s="16"/>
      <c r="J59" s="17"/>
      <c r="K59" s="17"/>
      <c r="L59" s="17"/>
      <c r="M59" s="17"/>
    </row>
    <row r="60" spans="2:13" ht="14">
      <c r="B60" s="338"/>
      <c r="C60" s="338"/>
      <c r="D60" s="338"/>
      <c r="E60" s="338"/>
      <c r="F60" s="338"/>
      <c r="G60" s="338"/>
      <c r="H60" s="339"/>
      <c r="I60" s="16"/>
      <c r="J60" s="17"/>
      <c r="K60" s="17"/>
      <c r="L60" s="17"/>
      <c r="M60" s="17"/>
    </row>
    <row r="61" spans="2:13" ht="14">
      <c r="B61" s="338"/>
      <c r="C61" s="338"/>
      <c r="D61" s="338"/>
      <c r="E61" s="338"/>
      <c r="F61" s="338"/>
      <c r="G61" s="338"/>
      <c r="H61" s="339"/>
      <c r="I61" s="16"/>
      <c r="J61" s="17"/>
      <c r="K61" s="17"/>
      <c r="L61" s="17"/>
      <c r="M61" s="17"/>
    </row>
    <row r="62" spans="2:13" ht="14">
      <c r="B62" s="338"/>
      <c r="C62" s="338"/>
      <c r="D62" s="338"/>
      <c r="E62" s="338"/>
      <c r="F62" s="338"/>
      <c r="G62" s="338"/>
      <c r="H62" s="339"/>
      <c r="I62" s="16"/>
      <c r="J62" s="17"/>
      <c r="K62" s="17"/>
      <c r="L62" s="17"/>
      <c r="M62" s="17"/>
    </row>
    <row r="63" spans="2:13" ht="14">
      <c r="B63" s="338"/>
      <c r="C63" s="338"/>
      <c r="D63" s="338"/>
      <c r="E63" s="338"/>
      <c r="F63" s="338"/>
      <c r="G63" s="338"/>
      <c r="H63" s="339"/>
      <c r="I63" s="16"/>
      <c r="J63" s="17"/>
      <c r="K63" s="17"/>
      <c r="L63" s="17"/>
      <c r="M63" s="17"/>
    </row>
    <row r="64" spans="2:13" ht="14">
      <c r="B64" s="338"/>
      <c r="C64" s="338"/>
      <c r="D64" s="338"/>
      <c r="E64" s="338"/>
      <c r="F64" s="338"/>
      <c r="G64" s="338"/>
      <c r="H64" s="339"/>
      <c r="I64" s="16"/>
      <c r="J64" s="17"/>
      <c r="K64" s="17"/>
      <c r="L64" s="17"/>
      <c r="M64" s="17"/>
    </row>
    <row r="65" spans="2:13" ht="14">
      <c r="B65" s="338"/>
      <c r="C65" s="338"/>
      <c r="D65" s="338"/>
      <c r="E65" s="338"/>
      <c r="F65" s="338"/>
      <c r="G65" s="338"/>
      <c r="H65" s="339"/>
      <c r="I65" s="16"/>
      <c r="J65" s="17"/>
      <c r="K65" s="17"/>
      <c r="L65" s="17"/>
      <c r="M65" s="17"/>
    </row>
    <row r="66" spans="2:13" ht="14">
      <c r="B66" s="338"/>
      <c r="C66" s="338"/>
      <c r="D66" s="338"/>
      <c r="E66" s="338"/>
      <c r="F66" s="338"/>
      <c r="G66" s="338"/>
      <c r="H66" s="339"/>
      <c r="I66" s="16"/>
      <c r="J66" s="17"/>
      <c r="K66" s="17"/>
      <c r="L66" s="17"/>
      <c r="M66" s="17"/>
    </row>
    <row r="67" spans="2:13" ht="14">
      <c r="B67" s="338"/>
      <c r="C67" s="338"/>
      <c r="D67" s="338"/>
      <c r="E67" s="338"/>
      <c r="F67" s="338"/>
      <c r="G67" s="338"/>
      <c r="H67" s="339"/>
      <c r="I67" s="16"/>
      <c r="J67" s="17"/>
      <c r="K67" s="17"/>
      <c r="L67" s="17"/>
      <c r="M67" s="17"/>
    </row>
    <row r="68" spans="2:13" ht="14">
      <c r="B68" s="338"/>
      <c r="C68" s="338"/>
      <c r="D68" s="338"/>
      <c r="E68" s="338"/>
      <c r="F68" s="338"/>
      <c r="G68" s="338"/>
      <c r="H68" s="339"/>
      <c r="I68" s="16"/>
      <c r="J68" s="17"/>
      <c r="K68" s="17"/>
      <c r="L68" s="17"/>
      <c r="M68" s="17"/>
    </row>
    <row r="69" spans="2:13" ht="14">
      <c r="B69" s="338"/>
      <c r="C69" s="338"/>
      <c r="D69" s="338"/>
      <c r="E69" s="338"/>
      <c r="F69" s="338"/>
      <c r="G69" s="338"/>
      <c r="H69" s="339"/>
      <c r="I69" s="16"/>
      <c r="J69" s="17"/>
      <c r="K69" s="17"/>
      <c r="L69" s="17"/>
      <c r="M69" s="17"/>
    </row>
    <row r="70" spans="2:13" ht="14">
      <c r="B70" s="338"/>
      <c r="C70" s="338"/>
      <c r="D70" s="338"/>
      <c r="E70" s="338"/>
      <c r="F70" s="338"/>
      <c r="G70" s="338"/>
      <c r="H70" s="339"/>
      <c r="I70" s="16"/>
      <c r="J70" s="17"/>
      <c r="K70" s="17"/>
      <c r="L70" s="17"/>
      <c r="M70" s="17"/>
    </row>
    <row r="71" spans="2:13" ht="14">
      <c r="B71" s="338"/>
      <c r="C71" s="338"/>
      <c r="D71" s="338"/>
      <c r="E71" s="338"/>
      <c r="F71" s="338"/>
      <c r="G71" s="338"/>
      <c r="H71" s="339"/>
      <c r="I71" s="16"/>
      <c r="J71" s="17"/>
      <c r="K71" s="17"/>
      <c r="L71" s="17"/>
      <c r="M71" s="17"/>
    </row>
    <row r="72" spans="2:13" ht="14">
      <c r="B72" s="338"/>
      <c r="C72" s="338"/>
      <c r="D72" s="338"/>
      <c r="E72" s="338"/>
      <c r="F72" s="338"/>
      <c r="G72" s="338"/>
      <c r="H72" s="339"/>
      <c r="I72" s="16"/>
      <c r="J72" s="17"/>
      <c r="K72" s="17"/>
      <c r="L72" s="17"/>
      <c r="M72" s="17"/>
    </row>
    <row r="73" spans="2:13" ht="14">
      <c r="B73" s="338"/>
      <c r="C73" s="338"/>
      <c r="D73" s="338"/>
      <c r="E73" s="338"/>
      <c r="F73" s="338"/>
      <c r="G73" s="338"/>
      <c r="H73" s="339"/>
      <c r="I73" s="16"/>
      <c r="J73" s="17"/>
      <c r="K73" s="17"/>
      <c r="L73" s="17"/>
      <c r="M73" s="17"/>
    </row>
    <row r="74" spans="2:13" ht="14">
      <c r="B74" s="338"/>
      <c r="C74" s="338"/>
      <c r="D74" s="338"/>
      <c r="E74" s="338"/>
      <c r="F74" s="338"/>
      <c r="G74" s="338"/>
      <c r="H74" s="339"/>
      <c r="I74" s="16"/>
      <c r="J74" s="17"/>
      <c r="K74" s="17"/>
      <c r="L74" s="17"/>
      <c r="M74" s="17"/>
    </row>
    <row r="75" spans="2:13" ht="14">
      <c r="B75" s="338"/>
      <c r="C75" s="338"/>
      <c r="D75" s="338"/>
      <c r="E75" s="338"/>
      <c r="F75" s="338"/>
      <c r="G75" s="338"/>
      <c r="H75" s="339"/>
      <c r="I75" s="16"/>
      <c r="J75" s="17"/>
      <c r="K75" s="17"/>
      <c r="L75" s="17"/>
      <c r="M75" s="17"/>
    </row>
    <row r="76" spans="2:13" ht="14">
      <c r="B76" s="338"/>
      <c r="C76" s="338"/>
      <c r="D76" s="338"/>
      <c r="E76" s="338"/>
      <c r="F76" s="338"/>
      <c r="G76" s="338"/>
      <c r="H76" s="339"/>
      <c r="I76" s="16"/>
      <c r="J76" s="17"/>
      <c r="K76" s="17"/>
      <c r="L76" s="17"/>
      <c r="M76" s="17"/>
    </row>
    <row r="77" spans="2:13" ht="14">
      <c r="B77" s="338"/>
      <c r="C77" s="338"/>
      <c r="D77" s="338"/>
      <c r="E77" s="338"/>
      <c r="F77" s="338"/>
      <c r="G77" s="338"/>
      <c r="H77" s="339"/>
      <c r="I77" s="16"/>
      <c r="J77" s="17"/>
      <c r="K77" s="17"/>
      <c r="L77" s="17"/>
      <c r="M77" s="17"/>
    </row>
    <row r="78" spans="2:13" ht="14">
      <c r="B78" s="15"/>
      <c r="C78" s="15"/>
      <c r="D78" s="15"/>
      <c r="E78" s="15"/>
      <c r="F78" s="15"/>
      <c r="G78" s="15"/>
      <c r="H78" s="19"/>
      <c r="I78" s="19"/>
      <c r="J78" s="15"/>
      <c r="K78" s="15"/>
      <c r="L78" s="15"/>
      <c r="M78" s="15"/>
    </row>
    <row r="79" spans="2:13" ht="14">
      <c r="B79" s="15"/>
      <c r="C79" s="15"/>
      <c r="D79" s="15"/>
      <c r="E79" s="15"/>
      <c r="F79" s="15"/>
      <c r="G79" s="15"/>
      <c r="H79" s="19"/>
      <c r="I79" s="19"/>
      <c r="J79" s="15"/>
      <c r="K79" s="15"/>
      <c r="L79" s="15"/>
      <c r="M79" s="15"/>
    </row>
    <row r="80" spans="2:13" ht="14">
      <c r="B80" s="15"/>
      <c r="C80" s="15"/>
      <c r="D80" s="15"/>
      <c r="E80" s="15"/>
      <c r="F80" s="15"/>
      <c r="G80" s="15"/>
      <c r="H80" s="19"/>
      <c r="I80" s="19"/>
      <c r="J80" s="15"/>
      <c r="K80" s="15"/>
      <c r="L80" s="15"/>
      <c r="M80" s="15"/>
    </row>
    <row r="81" spans="2:13" ht="14">
      <c r="B81" s="15"/>
      <c r="C81" s="15"/>
      <c r="D81" s="15"/>
      <c r="E81" s="15"/>
      <c r="F81" s="15"/>
      <c r="G81" s="15"/>
      <c r="H81" s="19"/>
      <c r="I81" s="19"/>
      <c r="J81" s="15"/>
      <c r="K81" s="15"/>
      <c r="L81" s="15"/>
      <c r="M81" s="15"/>
    </row>
    <row r="82" spans="2:13" ht="14">
      <c r="B82" s="15"/>
      <c r="C82" s="15"/>
      <c r="D82" s="15"/>
      <c r="E82" s="15"/>
      <c r="F82" s="15"/>
      <c r="G82" s="15"/>
      <c r="H82" s="19"/>
      <c r="I82" s="19"/>
      <c r="J82" s="15"/>
      <c r="K82" s="15"/>
      <c r="L82" s="15"/>
      <c r="M82" s="15"/>
    </row>
    <row r="83" spans="2:13" ht="14">
      <c r="B83" s="15"/>
      <c r="C83" s="15"/>
      <c r="D83" s="15"/>
      <c r="E83" s="15"/>
      <c r="F83" s="15"/>
      <c r="G83" s="15"/>
      <c r="H83" s="19"/>
      <c r="I83" s="19"/>
      <c r="J83" s="15"/>
      <c r="K83" s="15"/>
      <c r="L83" s="15"/>
      <c r="M83" s="15"/>
    </row>
    <row r="84" spans="2:13" ht="14">
      <c r="B84" s="15"/>
      <c r="C84" s="15"/>
      <c r="D84" s="15"/>
      <c r="E84" s="15"/>
      <c r="F84" s="15"/>
      <c r="G84" s="15"/>
      <c r="H84" s="19"/>
      <c r="I84" s="19"/>
      <c r="J84" s="15"/>
      <c r="K84" s="15"/>
      <c r="L84" s="15"/>
      <c r="M84" s="15"/>
    </row>
    <row r="85" spans="2:13" ht="14">
      <c r="B85" s="15"/>
      <c r="C85" s="15"/>
      <c r="D85" s="15"/>
      <c r="E85" s="15"/>
      <c r="F85" s="15"/>
      <c r="G85" s="15"/>
      <c r="H85" s="19"/>
      <c r="I85" s="19"/>
      <c r="J85" s="15"/>
      <c r="K85" s="15"/>
      <c r="L85" s="15"/>
      <c r="M85" s="15"/>
    </row>
    <row r="86" spans="2:13" ht="14">
      <c r="B86" s="15"/>
      <c r="C86" s="15"/>
      <c r="D86" s="15"/>
      <c r="E86" s="15"/>
      <c r="F86" s="15"/>
      <c r="G86" s="15"/>
      <c r="H86" s="19"/>
      <c r="I86" s="19"/>
      <c r="J86" s="15"/>
      <c r="K86" s="15"/>
      <c r="L86" s="15"/>
      <c r="M86" s="15"/>
    </row>
    <row r="87" spans="2:13" ht="14">
      <c r="B87" s="15"/>
      <c r="C87" s="15"/>
      <c r="D87" s="15"/>
      <c r="E87" s="15"/>
      <c r="F87" s="15"/>
      <c r="G87" s="15"/>
      <c r="H87" s="19"/>
      <c r="I87" s="19"/>
      <c r="J87" s="15"/>
      <c r="K87" s="15"/>
      <c r="L87" s="15"/>
      <c r="M87" s="15"/>
    </row>
    <row r="88" spans="2:13" ht="14">
      <c r="B88" s="15"/>
      <c r="C88" s="15"/>
      <c r="D88" s="15"/>
      <c r="E88" s="15"/>
      <c r="F88" s="15"/>
      <c r="G88" s="15"/>
      <c r="H88" s="19"/>
      <c r="I88" s="19"/>
      <c r="J88" s="15"/>
      <c r="K88" s="15"/>
      <c r="L88" s="15"/>
      <c r="M88" s="15"/>
    </row>
    <row r="89" spans="2:13" ht="14">
      <c r="B89" s="15"/>
      <c r="C89" s="15"/>
      <c r="D89" s="15"/>
      <c r="E89" s="15"/>
      <c r="F89" s="15"/>
      <c r="G89" s="15"/>
      <c r="H89" s="19"/>
      <c r="I89" s="19"/>
      <c r="J89" s="15"/>
      <c r="K89" s="15"/>
      <c r="L89" s="15"/>
      <c r="M89" s="15"/>
    </row>
    <row r="90" spans="2:13" ht="14">
      <c r="B90" s="15"/>
      <c r="C90" s="15"/>
      <c r="D90" s="15"/>
      <c r="E90" s="15"/>
      <c r="F90" s="15"/>
      <c r="G90" s="15"/>
      <c r="H90" s="19"/>
      <c r="I90" s="19"/>
      <c r="J90" s="15"/>
      <c r="K90" s="15"/>
      <c r="L90" s="15"/>
      <c r="M90" s="15"/>
    </row>
    <row r="91" spans="2:13" ht="14">
      <c r="B91" s="15"/>
      <c r="C91" s="15"/>
      <c r="D91" s="15"/>
      <c r="E91" s="15"/>
      <c r="F91" s="15"/>
      <c r="G91" s="15"/>
      <c r="H91" s="19"/>
      <c r="I91" s="19"/>
      <c r="J91" s="15"/>
      <c r="K91" s="15"/>
      <c r="L91" s="15"/>
      <c r="M91" s="15"/>
    </row>
    <row r="92" spans="2:13" ht="14">
      <c r="B92" s="15"/>
      <c r="C92" s="15"/>
      <c r="D92" s="15"/>
      <c r="E92" s="15"/>
      <c r="F92" s="15"/>
      <c r="G92" s="15"/>
      <c r="H92" s="19"/>
      <c r="I92" s="19"/>
      <c r="J92" s="15"/>
      <c r="K92" s="15"/>
      <c r="L92" s="15"/>
      <c r="M92" s="15"/>
    </row>
    <row r="93" spans="2:13" ht="14">
      <c r="B93" s="15"/>
      <c r="C93" s="15"/>
      <c r="D93" s="15"/>
      <c r="E93" s="15"/>
      <c r="F93" s="15"/>
      <c r="G93" s="15"/>
      <c r="H93" s="19"/>
      <c r="I93" s="19"/>
      <c r="J93" s="15"/>
      <c r="K93" s="15"/>
      <c r="L93" s="15"/>
      <c r="M93" s="15"/>
    </row>
    <row r="94" spans="2:13" ht="14">
      <c r="B94" s="15"/>
      <c r="C94" s="15"/>
      <c r="D94" s="15"/>
      <c r="E94" s="15"/>
      <c r="F94" s="15"/>
      <c r="G94" s="15"/>
      <c r="H94" s="19"/>
      <c r="I94" s="19"/>
      <c r="J94" s="15"/>
      <c r="K94" s="15"/>
      <c r="L94" s="15"/>
      <c r="M94" s="15"/>
    </row>
    <row r="95" spans="2:13" ht="14">
      <c r="B95" s="15"/>
      <c r="C95" s="15"/>
      <c r="D95" s="15"/>
      <c r="E95" s="15"/>
      <c r="F95" s="15"/>
      <c r="G95" s="15"/>
      <c r="H95" s="19"/>
      <c r="I95" s="19"/>
      <c r="J95" s="15"/>
      <c r="K95" s="15"/>
      <c r="L95" s="15"/>
      <c r="M95" s="15"/>
    </row>
    <row r="96" spans="2:13" ht="14">
      <c r="B96" s="15"/>
      <c r="C96" s="15"/>
      <c r="D96" s="15"/>
      <c r="E96" s="15"/>
      <c r="F96" s="15"/>
      <c r="G96" s="15"/>
      <c r="H96" s="19"/>
      <c r="I96" s="19"/>
      <c r="J96" s="15"/>
      <c r="K96" s="15"/>
      <c r="L96" s="15"/>
      <c r="M96" s="15"/>
    </row>
    <row r="97" spans="2:13" ht="14">
      <c r="B97" s="15"/>
      <c r="C97" s="15"/>
      <c r="D97" s="15"/>
      <c r="E97" s="15"/>
      <c r="F97" s="15"/>
      <c r="G97" s="15"/>
      <c r="H97" s="19"/>
      <c r="I97" s="19"/>
      <c r="J97" s="15"/>
      <c r="K97" s="15"/>
      <c r="L97" s="15"/>
      <c r="M97" s="15"/>
    </row>
    <row r="98" spans="2:13" ht="14">
      <c r="B98" s="15"/>
      <c r="C98" s="15"/>
      <c r="D98" s="15"/>
      <c r="E98" s="15"/>
      <c r="F98" s="15"/>
      <c r="G98" s="15"/>
      <c r="H98" s="19"/>
      <c r="I98" s="19"/>
      <c r="J98" s="15"/>
      <c r="K98" s="15"/>
      <c r="L98" s="15"/>
      <c r="M98" s="15"/>
    </row>
    <row r="99" spans="2:13" ht="14">
      <c r="B99" s="15"/>
      <c r="C99" s="15"/>
      <c r="D99" s="15"/>
      <c r="E99" s="15"/>
      <c r="F99" s="15"/>
      <c r="G99" s="15"/>
      <c r="H99" s="19"/>
      <c r="I99" s="19"/>
      <c r="J99" s="15"/>
      <c r="K99" s="15"/>
      <c r="L99" s="15"/>
      <c r="M99" s="15"/>
    </row>
    <row r="100" spans="2:13" ht="14">
      <c r="B100" s="15"/>
      <c r="C100" s="15"/>
      <c r="D100" s="15"/>
      <c r="E100" s="15"/>
      <c r="F100" s="15"/>
      <c r="G100" s="15"/>
      <c r="H100" s="19"/>
      <c r="I100" s="19"/>
      <c r="J100" s="15"/>
      <c r="K100" s="15"/>
      <c r="L100" s="15"/>
      <c r="M100" s="15"/>
    </row>
    <row r="101" spans="2:13" ht="14">
      <c r="B101" s="15"/>
      <c r="C101" s="15"/>
      <c r="D101" s="15"/>
      <c r="E101" s="15"/>
      <c r="F101" s="15"/>
      <c r="G101" s="15"/>
      <c r="H101" s="19"/>
      <c r="I101" s="19"/>
      <c r="J101" s="15"/>
      <c r="K101" s="15"/>
      <c r="L101" s="15"/>
      <c r="M101" s="15"/>
    </row>
    <row r="102" spans="2:13" ht="14">
      <c r="B102" s="15"/>
      <c r="C102" s="15"/>
      <c r="D102" s="15"/>
      <c r="E102" s="15"/>
      <c r="F102" s="15"/>
      <c r="G102" s="15"/>
      <c r="H102" s="19"/>
      <c r="I102" s="19"/>
      <c r="J102" s="15"/>
      <c r="K102" s="15"/>
      <c r="L102" s="15"/>
      <c r="M102" s="15"/>
    </row>
    <row r="103" spans="2:13" ht="14">
      <c r="B103" s="15"/>
      <c r="C103" s="15"/>
      <c r="D103" s="15"/>
      <c r="E103" s="15"/>
      <c r="F103" s="15"/>
      <c r="G103" s="15"/>
      <c r="H103" s="19"/>
      <c r="I103" s="19"/>
      <c r="J103" s="15"/>
      <c r="K103" s="15"/>
      <c r="L103" s="15"/>
      <c r="M103" s="15"/>
    </row>
    <row r="104" spans="2:13" ht="14">
      <c r="B104" s="15"/>
      <c r="C104" s="15"/>
      <c r="D104" s="15"/>
      <c r="E104" s="15"/>
      <c r="F104" s="15"/>
      <c r="G104" s="15"/>
      <c r="H104" s="19"/>
      <c r="I104" s="19"/>
      <c r="J104" s="15"/>
      <c r="K104" s="15"/>
      <c r="L104" s="15"/>
      <c r="M104" s="15"/>
    </row>
    <row r="105" spans="2:13" ht="14">
      <c r="B105" s="15"/>
      <c r="C105" s="15"/>
      <c r="D105" s="15"/>
      <c r="E105" s="15"/>
      <c r="F105" s="15"/>
      <c r="G105" s="15"/>
      <c r="H105" s="19"/>
      <c r="I105" s="19"/>
      <c r="J105" s="15"/>
      <c r="K105" s="15"/>
      <c r="L105" s="15"/>
      <c r="M105" s="15"/>
    </row>
    <row r="106" spans="2:13" ht="14">
      <c r="B106" s="15"/>
      <c r="C106" s="15"/>
      <c r="D106" s="15"/>
      <c r="E106" s="15"/>
      <c r="F106" s="15"/>
      <c r="G106" s="15"/>
      <c r="H106" s="19"/>
      <c r="I106" s="19"/>
      <c r="J106" s="15"/>
      <c r="K106" s="15"/>
      <c r="L106" s="15"/>
      <c r="M106" s="15"/>
    </row>
    <row r="107" spans="2:13" ht="14">
      <c r="B107" s="15"/>
      <c r="C107" s="15"/>
      <c r="D107" s="15"/>
      <c r="E107" s="15"/>
      <c r="F107" s="15"/>
      <c r="G107" s="15"/>
      <c r="H107" s="19"/>
      <c r="I107" s="19"/>
      <c r="J107" s="15"/>
      <c r="K107" s="15"/>
      <c r="L107" s="15"/>
      <c r="M107" s="15"/>
    </row>
    <row r="108" spans="2:13" ht="14">
      <c r="B108" s="15"/>
      <c r="C108" s="15"/>
      <c r="D108" s="15"/>
      <c r="E108" s="15"/>
      <c r="F108" s="15"/>
      <c r="G108" s="15"/>
      <c r="H108" s="19"/>
      <c r="I108" s="19"/>
      <c r="J108" s="15"/>
      <c r="K108" s="15"/>
      <c r="L108" s="15"/>
      <c r="M108" s="15"/>
    </row>
    <row r="109" spans="2:13" ht="14">
      <c r="B109" s="15"/>
      <c r="C109" s="15"/>
      <c r="D109" s="15"/>
      <c r="E109" s="15"/>
      <c r="F109" s="15"/>
      <c r="G109" s="15"/>
      <c r="H109" s="19"/>
      <c r="I109" s="19"/>
      <c r="J109" s="15"/>
      <c r="K109" s="15"/>
      <c r="L109" s="15"/>
      <c r="M109" s="15"/>
    </row>
    <row r="110" spans="2:13" ht="14">
      <c r="B110" s="15"/>
      <c r="C110" s="15"/>
      <c r="D110" s="15"/>
      <c r="E110" s="15"/>
      <c r="F110" s="15"/>
      <c r="G110" s="15"/>
      <c r="H110" s="19"/>
      <c r="I110" s="19"/>
      <c r="J110" s="15"/>
      <c r="K110" s="15"/>
      <c r="L110" s="15"/>
      <c r="M110" s="15"/>
    </row>
    <row r="111" spans="2:13" ht="14">
      <c r="B111" s="15"/>
      <c r="C111" s="15"/>
      <c r="D111" s="15"/>
      <c r="E111" s="15"/>
      <c r="F111" s="15"/>
      <c r="G111" s="15"/>
      <c r="H111" s="19"/>
      <c r="I111" s="19"/>
      <c r="J111" s="15"/>
      <c r="K111" s="15"/>
      <c r="L111" s="15"/>
      <c r="M111" s="15"/>
    </row>
    <row r="112" spans="2:13" ht="14">
      <c r="B112" s="15"/>
      <c r="C112" s="15"/>
      <c r="D112" s="15"/>
      <c r="E112" s="15"/>
      <c r="F112" s="15"/>
      <c r="G112" s="15"/>
      <c r="H112" s="19"/>
      <c r="I112" s="19"/>
      <c r="J112" s="15"/>
      <c r="K112" s="15"/>
      <c r="L112" s="15"/>
      <c r="M112" s="15"/>
    </row>
    <row r="113" spans="2:13" ht="14">
      <c r="B113" s="15"/>
      <c r="C113" s="15"/>
      <c r="D113" s="15"/>
      <c r="E113" s="15"/>
      <c r="F113" s="15"/>
      <c r="G113" s="15"/>
      <c r="H113" s="19"/>
      <c r="I113" s="19"/>
      <c r="J113" s="15"/>
      <c r="K113" s="15"/>
      <c r="L113" s="15"/>
      <c r="M113" s="15"/>
    </row>
    <row r="114" spans="2:13" ht="14">
      <c r="B114" s="15"/>
      <c r="C114" s="15"/>
      <c r="D114" s="15"/>
      <c r="E114" s="15"/>
      <c r="F114" s="15"/>
      <c r="G114" s="15"/>
      <c r="H114" s="19"/>
      <c r="I114" s="19"/>
      <c r="J114" s="15"/>
      <c r="K114" s="15"/>
      <c r="L114" s="15"/>
      <c r="M114" s="15"/>
    </row>
    <row r="115" spans="2:13" ht="14">
      <c r="B115" s="15"/>
      <c r="C115" s="15"/>
      <c r="D115" s="15"/>
      <c r="E115" s="15"/>
      <c r="F115" s="15"/>
      <c r="G115" s="15"/>
      <c r="H115" s="19"/>
      <c r="I115" s="19"/>
      <c r="J115" s="15"/>
      <c r="K115" s="15"/>
      <c r="L115" s="15"/>
      <c r="M115" s="15"/>
    </row>
    <row r="116" spans="2:13" ht="14">
      <c r="B116" s="15"/>
      <c r="C116" s="15"/>
      <c r="D116" s="15"/>
      <c r="E116" s="15"/>
      <c r="F116" s="15"/>
      <c r="G116" s="15"/>
      <c r="H116" s="19"/>
      <c r="I116" s="19"/>
      <c r="J116" s="15"/>
      <c r="K116" s="15"/>
      <c r="L116" s="15"/>
      <c r="M116" s="15"/>
    </row>
    <row r="117" spans="2:13" ht="14">
      <c r="B117" s="15"/>
      <c r="C117" s="15"/>
      <c r="D117" s="15"/>
      <c r="E117" s="15"/>
      <c r="F117" s="15"/>
      <c r="G117" s="15"/>
      <c r="H117" s="19"/>
      <c r="I117" s="19"/>
      <c r="J117" s="15"/>
      <c r="K117" s="15"/>
      <c r="L117" s="15"/>
      <c r="M117" s="15"/>
    </row>
    <row r="118" spans="2:13" ht="14">
      <c r="B118" s="15"/>
      <c r="C118" s="15"/>
      <c r="D118" s="15"/>
      <c r="E118" s="15"/>
      <c r="F118" s="15"/>
      <c r="G118" s="15"/>
      <c r="H118" s="19"/>
      <c r="I118" s="19"/>
      <c r="J118" s="15"/>
      <c r="K118" s="15"/>
      <c r="L118" s="15"/>
      <c r="M118" s="15"/>
    </row>
    <row r="119" spans="2:13" ht="14">
      <c r="B119" s="15"/>
      <c r="C119" s="15"/>
      <c r="D119" s="15"/>
      <c r="E119" s="15"/>
      <c r="F119" s="15"/>
      <c r="G119" s="15"/>
      <c r="H119" s="19"/>
      <c r="I119" s="19"/>
      <c r="J119" s="15"/>
      <c r="K119" s="15"/>
      <c r="L119" s="15"/>
      <c r="M119" s="15"/>
    </row>
    <row r="120" spans="2:13" ht="14">
      <c r="B120" s="15"/>
      <c r="C120" s="15"/>
      <c r="D120" s="15"/>
      <c r="E120" s="15"/>
      <c r="F120" s="15"/>
      <c r="G120" s="15"/>
      <c r="H120" s="19"/>
      <c r="I120" s="19"/>
      <c r="J120" s="15"/>
      <c r="K120" s="15"/>
      <c r="L120" s="15"/>
      <c r="M120" s="15"/>
    </row>
    <row r="121" spans="2:13" ht="14">
      <c r="B121" s="15"/>
      <c r="C121" s="15"/>
      <c r="D121" s="15"/>
      <c r="E121" s="15"/>
      <c r="F121" s="15"/>
      <c r="G121" s="15"/>
      <c r="H121" s="19"/>
      <c r="I121" s="19"/>
      <c r="J121" s="15"/>
      <c r="K121" s="15"/>
      <c r="L121" s="15"/>
      <c r="M121" s="15"/>
    </row>
    <row r="122" spans="2:13" ht="14">
      <c r="B122" s="15"/>
      <c r="C122" s="15"/>
      <c r="D122" s="15"/>
      <c r="E122" s="15"/>
      <c r="F122" s="15"/>
      <c r="G122" s="15"/>
      <c r="H122" s="19"/>
      <c r="I122" s="19"/>
      <c r="J122" s="15"/>
      <c r="K122" s="15"/>
      <c r="L122" s="15"/>
      <c r="M122" s="15"/>
    </row>
    <row r="123" spans="2:13" ht="14">
      <c r="B123" s="15"/>
      <c r="C123" s="15"/>
      <c r="D123" s="15"/>
      <c r="E123" s="15"/>
      <c r="F123" s="15"/>
      <c r="G123" s="15"/>
      <c r="H123" s="19"/>
      <c r="I123" s="19"/>
      <c r="J123" s="15"/>
      <c r="K123" s="15"/>
      <c r="L123" s="15"/>
      <c r="M123" s="15"/>
    </row>
    <row r="124" spans="2:13" ht="14">
      <c r="B124" s="15"/>
      <c r="C124" s="15"/>
      <c r="D124" s="15"/>
      <c r="E124" s="15"/>
      <c r="F124" s="15"/>
      <c r="G124" s="15"/>
      <c r="H124" s="19"/>
      <c r="I124" s="19"/>
      <c r="J124" s="15"/>
      <c r="K124" s="15"/>
      <c r="L124" s="15"/>
      <c r="M124" s="15"/>
    </row>
    <row r="125" spans="2:13" ht="14">
      <c r="B125" s="15"/>
      <c r="C125" s="15"/>
      <c r="D125" s="15"/>
      <c r="E125" s="15"/>
      <c r="F125" s="15"/>
      <c r="G125" s="15"/>
      <c r="H125" s="19"/>
      <c r="I125" s="19"/>
      <c r="J125" s="15"/>
      <c r="K125" s="15"/>
      <c r="L125" s="15"/>
      <c r="M125" s="15"/>
    </row>
    <row r="126" spans="2:13" ht="14">
      <c r="B126" s="15"/>
      <c r="C126" s="15"/>
      <c r="D126" s="15"/>
      <c r="E126" s="15"/>
      <c r="F126" s="15"/>
      <c r="G126" s="15"/>
      <c r="H126" s="19"/>
      <c r="I126" s="19"/>
      <c r="J126" s="15"/>
      <c r="K126" s="15"/>
      <c r="L126" s="15"/>
      <c r="M126" s="15"/>
    </row>
    <row r="127" spans="2:13" ht="14">
      <c r="B127" s="15"/>
      <c r="C127" s="15"/>
      <c r="D127" s="15"/>
      <c r="E127" s="15"/>
      <c r="F127" s="15"/>
      <c r="G127" s="15"/>
      <c r="H127" s="19"/>
      <c r="I127" s="19"/>
      <c r="J127" s="15"/>
      <c r="K127" s="15"/>
      <c r="L127" s="15"/>
      <c r="M127" s="15"/>
    </row>
    <row r="128" spans="2:13" ht="14">
      <c r="B128" s="15"/>
      <c r="C128" s="15"/>
      <c r="D128" s="15"/>
      <c r="E128" s="15"/>
      <c r="F128" s="15"/>
      <c r="G128" s="15"/>
      <c r="H128" s="19"/>
      <c r="I128" s="19"/>
      <c r="J128" s="15"/>
      <c r="K128" s="15"/>
      <c r="L128" s="15"/>
      <c r="M128" s="15"/>
    </row>
    <row r="129" spans="2:13" ht="14">
      <c r="B129" s="15"/>
      <c r="C129" s="15"/>
      <c r="D129" s="15"/>
      <c r="E129" s="15"/>
      <c r="F129" s="15"/>
      <c r="G129" s="15"/>
      <c r="H129" s="19"/>
      <c r="I129" s="19"/>
      <c r="J129" s="15"/>
      <c r="K129" s="15"/>
      <c r="L129" s="15"/>
      <c r="M129" s="15"/>
    </row>
    <row r="130" spans="2:13" ht="14">
      <c r="B130" s="15"/>
      <c r="C130" s="15"/>
      <c r="D130" s="15"/>
      <c r="E130" s="15"/>
      <c r="F130" s="15"/>
      <c r="G130" s="15"/>
      <c r="H130" s="19"/>
      <c r="I130" s="19"/>
      <c r="J130" s="15"/>
      <c r="K130" s="15"/>
      <c r="L130" s="15"/>
      <c r="M130" s="15"/>
    </row>
    <row r="131" spans="2:13" ht="14">
      <c r="B131" s="15"/>
      <c r="C131" s="15"/>
      <c r="D131" s="15"/>
      <c r="E131" s="15"/>
      <c r="F131" s="15"/>
      <c r="G131" s="15"/>
      <c r="H131" s="19"/>
      <c r="I131" s="19"/>
      <c r="J131" s="15"/>
      <c r="K131" s="15"/>
      <c r="L131" s="15"/>
      <c r="M131" s="15"/>
    </row>
    <row r="132" spans="2:13" ht="14">
      <c r="B132" s="15"/>
      <c r="C132" s="15"/>
      <c r="D132" s="15"/>
      <c r="E132" s="15"/>
      <c r="F132" s="15"/>
      <c r="G132" s="15"/>
      <c r="H132" s="19"/>
      <c r="I132" s="19"/>
      <c r="J132" s="15"/>
      <c r="K132" s="15"/>
      <c r="L132" s="15"/>
      <c r="M132" s="15"/>
    </row>
    <row r="133" spans="2:13" ht="14">
      <c r="B133" s="15"/>
      <c r="C133" s="15"/>
      <c r="D133" s="15"/>
      <c r="E133" s="15"/>
      <c r="F133" s="15"/>
      <c r="G133" s="15"/>
      <c r="H133" s="19"/>
      <c r="I133" s="19"/>
      <c r="J133" s="15"/>
      <c r="K133" s="15"/>
      <c r="L133" s="15"/>
      <c r="M133" s="15"/>
    </row>
    <row r="134" spans="2:13" ht="14">
      <c r="B134" s="15"/>
      <c r="C134" s="15"/>
      <c r="D134" s="15"/>
      <c r="E134" s="15"/>
      <c r="F134" s="15"/>
      <c r="G134" s="15"/>
      <c r="H134" s="19"/>
      <c r="I134" s="19"/>
      <c r="J134" s="15"/>
      <c r="K134" s="15"/>
      <c r="L134" s="15"/>
      <c r="M134" s="15"/>
    </row>
    <row r="135" spans="2:13" ht="14">
      <c r="B135" s="15"/>
      <c r="C135" s="15"/>
      <c r="D135" s="15"/>
      <c r="E135" s="15"/>
      <c r="F135" s="15"/>
      <c r="G135" s="15"/>
      <c r="H135" s="19"/>
      <c r="I135" s="19"/>
      <c r="J135" s="15"/>
      <c r="K135" s="15"/>
      <c r="L135" s="15"/>
      <c r="M135" s="15"/>
    </row>
    <row r="136" spans="2:13" ht="14">
      <c r="B136" s="15"/>
      <c r="C136" s="15"/>
      <c r="D136" s="15"/>
      <c r="E136" s="15"/>
      <c r="F136" s="15"/>
      <c r="G136" s="15"/>
      <c r="H136" s="19"/>
      <c r="I136" s="19"/>
      <c r="J136" s="15"/>
      <c r="K136" s="15"/>
      <c r="L136" s="15"/>
      <c r="M136" s="15"/>
    </row>
    <row r="137" spans="2:13" ht="14">
      <c r="B137" s="15"/>
      <c r="C137" s="15"/>
      <c r="D137" s="15"/>
      <c r="E137" s="15"/>
      <c r="F137" s="15"/>
      <c r="G137" s="15"/>
      <c r="H137" s="19"/>
      <c r="I137" s="19"/>
      <c r="J137" s="15"/>
      <c r="K137" s="15"/>
      <c r="L137" s="15"/>
      <c r="M137" s="15"/>
    </row>
    <row r="138" spans="2:13" ht="14">
      <c r="B138" s="15"/>
      <c r="C138" s="15"/>
      <c r="D138" s="15"/>
      <c r="E138" s="15"/>
      <c r="F138" s="15"/>
      <c r="G138" s="15"/>
      <c r="H138" s="19"/>
      <c r="I138" s="19"/>
      <c r="J138" s="15"/>
      <c r="K138" s="15"/>
      <c r="L138" s="15"/>
      <c r="M138" s="15"/>
    </row>
    <row r="139" spans="2:13" ht="14">
      <c r="B139" s="15"/>
      <c r="C139" s="15"/>
      <c r="D139" s="15"/>
      <c r="E139" s="15"/>
      <c r="F139" s="15"/>
      <c r="G139" s="15"/>
      <c r="H139" s="19"/>
      <c r="I139" s="19"/>
      <c r="J139" s="15"/>
      <c r="K139" s="15"/>
      <c r="L139" s="15"/>
      <c r="M139" s="15"/>
    </row>
    <row r="140" spans="2:13" ht="14">
      <c r="B140" s="15"/>
      <c r="C140" s="15"/>
      <c r="D140" s="15"/>
      <c r="E140" s="15"/>
      <c r="F140" s="15"/>
      <c r="G140" s="15"/>
      <c r="H140" s="19"/>
      <c r="I140" s="19"/>
      <c r="J140" s="15"/>
      <c r="K140" s="15"/>
      <c r="L140" s="15"/>
      <c r="M140" s="15"/>
    </row>
    <row r="141" spans="2:13" ht="14">
      <c r="B141" s="15"/>
      <c r="C141" s="15"/>
      <c r="D141" s="15"/>
      <c r="E141" s="15"/>
      <c r="F141" s="15"/>
      <c r="G141" s="15"/>
      <c r="H141" s="19"/>
      <c r="I141" s="19"/>
      <c r="J141" s="15"/>
      <c r="K141" s="15"/>
      <c r="L141" s="15"/>
      <c r="M141" s="15"/>
    </row>
    <row r="142" spans="2:13" ht="14">
      <c r="B142" s="15"/>
      <c r="C142" s="15"/>
      <c r="D142" s="15"/>
      <c r="E142" s="15"/>
      <c r="F142" s="15"/>
      <c r="G142" s="15"/>
      <c r="H142" s="19"/>
      <c r="I142" s="19"/>
      <c r="J142" s="15"/>
      <c r="K142" s="15"/>
      <c r="L142" s="15"/>
      <c r="M142" s="15"/>
    </row>
    <row r="143" spans="2:13" ht="14">
      <c r="B143" s="15"/>
      <c r="C143" s="15"/>
      <c r="D143" s="15"/>
      <c r="E143" s="15"/>
      <c r="F143" s="15"/>
      <c r="G143" s="15"/>
      <c r="H143" s="19"/>
      <c r="I143" s="19"/>
      <c r="J143" s="15"/>
      <c r="K143" s="15"/>
      <c r="L143" s="15"/>
      <c r="M143" s="15"/>
    </row>
    <row r="144" spans="2:13" ht="14">
      <c r="B144" s="15"/>
      <c r="C144" s="15"/>
      <c r="D144" s="15"/>
      <c r="E144" s="15"/>
      <c r="F144" s="15"/>
      <c r="G144" s="15"/>
      <c r="H144" s="19"/>
      <c r="I144" s="19"/>
      <c r="J144" s="15"/>
      <c r="K144" s="15"/>
      <c r="L144" s="15"/>
      <c r="M144" s="15"/>
    </row>
    <row r="145" spans="2:13" ht="14">
      <c r="B145" s="15"/>
      <c r="C145" s="15"/>
      <c r="D145" s="15"/>
      <c r="E145" s="15"/>
      <c r="F145" s="15"/>
      <c r="G145" s="15"/>
      <c r="H145" s="19"/>
      <c r="I145" s="19"/>
      <c r="J145" s="15"/>
      <c r="K145" s="15"/>
      <c r="L145" s="15"/>
      <c r="M145" s="15"/>
    </row>
    <row r="146" spans="2:13" ht="14">
      <c r="B146" s="15"/>
      <c r="C146" s="15"/>
      <c r="D146" s="15"/>
      <c r="E146" s="15"/>
      <c r="F146" s="15"/>
      <c r="G146" s="15"/>
      <c r="H146" s="19"/>
      <c r="I146" s="19"/>
      <c r="J146" s="15"/>
      <c r="K146" s="15"/>
      <c r="L146" s="15"/>
      <c r="M146" s="15"/>
    </row>
    <row r="147" spans="2:13" ht="14">
      <c r="B147" s="15"/>
      <c r="C147" s="15"/>
      <c r="D147" s="15"/>
      <c r="E147" s="15"/>
      <c r="F147" s="15"/>
      <c r="G147" s="15"/>
      <c r="H147" s="19"/>
      <c r="I147" s="19"/>
      <c r="J147" s="15"/>
      <c r="K147" s="15"/>
      <c r="L147" s="15"/>
      <c r="M147" s="15"/>
    </row>
    <row r="148" spans="2:13" ht="14">
      <c r="B148" s="15"/>
      <c r="C148" s="15"/>
      <c r="D148" s="15"/>
      <c r="E148" s="15"/>
      <c r="F148" s="15"/>
      <c r="G148" s="15"/>
      <c r="H148" s="19"/>
      <c r="I148" s="19"/>
      <c r="J148" s="15"/>
      <c r="K148" s="15"/>
      <c r="L148" s="15"/>
      <c r="M148" s="15"/>
    </row>
    <row r="149" spans="2:13" ht="14">
      <c r="B149" s="15"/>
      <c r="C149" s="15"/>
      <c r="D149" s="15"/>
      <c r="E149" s="15"/>
      <c r="F149" s="15"/>
      <c r="G149" s="15"/>
      <c r="H149" s="19"/>
      <c r="I149" s="19"/>
      <c r="J149" s="15"/>
      <c r="K149" s="15"/>
      <c r="L149" s="15"/>
      <c r="M149" s="15"/>
    </row>
    <row r="150" spans="2:13" ht="14">
      <c r="B150" s="15"/>
      <c r="C150" s="15"/>
      <c r="D150" s="15"/>
      <c r="E150" s="15"/>
      <c r="F150" s="15"/>
      <c r="G150" s="15"/>
      <c r="H150" s="19"/>
      <c r="I150" s="19"/>
      <c r="J150" s="15"/>
      <c r="K150" s="15"/>
      <c r="L150" s="15"/>
      <c r="M150" s="15"/>
    </row>
    <row r="151" spans="2:13" ht="14">
      <c r="B151" s="15"/>
      <c r="C151" s="15"/>
      <c r="D151" s="15"/>
      <c r="E151" s="15"/>
      <c r="F151" s="15"/>
      <c r="G151" s="15"/>
      <c r="H151" s="19"/>
      <c r="I151" s="19"/>
      <c r="J151" s="15"/>
      <c r="K151" s="15"/>
      <c r="L151" s="15"/>
      <c r="M151" s="15"/>
    </row>
    <row r="152" spans="2:13" ht="14">
      <c r="B152" s="15"/>
      <c r="C152" s="15"/>
      <c r="D152" s="15"/>
      <c r="E152" s="15"/>
      <c r="F152" s="15"/>
      <c r="G152" s="15"/>
      <c r="H152" s="19"/>
      <c r="I152" s="19"/>
      <c r="J152" s="15"/>
      <c r="K152" s="15"/>
      <c r="L152" s="15"/>
      <c r="M152" s="15"/>
    </row>
    <row r="153" spans="2:13" ht="14">
      <c r="B153" s="15"/>
      <c r="C153" s="15"/>
      <c r="D153" s="15"/>
      <c r="E153" s="15"/>
      <c r="F153" s="15"/>
      <c r="G153" s="15"/>
      <c r="H153" s="19"/>
      <c r="I153" s="19"/>
      <c r="J153" s="15"/>
      <c r="K153" s="15"/>
      <c r="L153" s="15"/>
      <c r="M153" s="15"/>
    </row>
    <row r="154" spans="2:13" ht="14">
      <c r="B154" s="15"/>
      <c r="C154" s="15"/>
      <c r="D154" s="15"/>
      <c r="E154" s="15"/>
      <c r="F154" s="15"/>
      <c r="G154" s="15"/>
      <c r="H154" s="19"/>
      <c r="I154" s="19"/>
      <c r="J154" s="15"/>
      <c r="K154" s="15"/>
      <c r="L154" s="15"/>
      <c r="M154" s="15"/>
    </row>
    <row r="155" spans="2:13" ht="14">
      <c r="B155" s="15"/>
      <c r="C155" s="15"/>
      <c r="D155" s="15"/>
      <c r="E155" s="15"/>
      <c r="F155" s="15"/>
      <c r="G155" s="15"/>
      <c r="H155" s="19"/>
      <c r="I155" s="19"/>
      <c r="J155" s="15"/>
      <c r="K155" s="15"/>
      <c r="L155" s="15"/>
      <c r="M155" s="15"/>
    </row>
    <row r="156" spans="2:13" ht="14">
      <c r="B156" s="15"/>
      <c r="C156" s="15"/>
      <c r="D156" s="15"/>
      <c r="E156" s="15"/>
      <c r="F156" s="15"/>
      <c r="G156" s="15"/>
      <c r="H156" s="19"/>
      <c r="I156" s="19"/>
      <c r="J156" s="15"/>
      <c r="K156" s="15"/>
      <c r="L156" s="15"/>
      <c r="M156" s="15"/>
    </row>
    <row r="157" spans="2:13" ht="14">
      <c r="B157" s="15"/>
      <c r="C157" s="15"/>
      <c r="D157" s="15"/>
      <c r="E157" s="15"/>
      <c r="F157" s="15"/>
      <c r="G157" s="15"/>
      <c r="H157" s="19"/>
      <c r="I157" s="19"/>
      <c r="J157" s="15"/>
      <c r="K157" s="15"/>
      <c r="L157" s="15"/>
      <c r="M157" s="15"/>
    </row>
    <row r="158" spans="2:13" ht="14">
      <c r="B158" s="15"/>
      <c r="C158" s="15"/>
      <c r="D158" s="15"/>
      <c r="E158" s="15"/>
      <c r="F158" s="15"/>
      <c r="G158" s="15"/>
      <c r="H158" s="19"/>
      <c r="I158" s="19"/>
      <c r="J158" s="15"/>
      <c r="K158" s="15"/>
      <c r="L158" s="15"/>
      <c r="M158" s="15"/>
    </row>
    <row r="159" spans="2:13" ht="14">
      <c r="B159" s="15"/>
      <c r="C159" s="15"/>
      <c r="D159" s="15"/>
      <c r="E159" s="15"/>
      <c r="F159" s="15"/>
      <c r="G159" s="15"/>
      <c r="H159" s="19"/>
      <c r="I159" s="19"/>
      <c r="J159" s="15"/>
      <c r="K159" s="15"/>
      <c r="L159" s="15"/>
      <c r="M159" s="15"/>
    </row>
    <row r="160" spans="2:13" ht="14">
      <c r="B160" s="15"/>
      <c r="C160" s="15"/>
      <c r="D160" s="15"/>
      <c r="E160" s="15"/>
      <c r="F160" s="15"/>
      <c r="G160" s="15"/>
      <c r="H160" s="19"/>
      <c r="I160" s="19"/>
      <c r="J160" s="15"/>
      <c r="K160" s="15"/>
      <c r="L160" s="15"/>
      <c r="M160" s="15"/>
    </row>
    <row r="161" spans="2:13" ht="14">
      <c r="B161" s="15"/>
      <c r="C161" s="15"/>
      <c r="D161" s="15"/>
      <c r="E161" s="15"/>
      <c r="F161" s="15"/>
      <c r="G161" s="15"/>
      <c r="H161" s="19"/>
      <c r="I161" s="19"/>
      <c r="J161" s="15"/>
      <c r="K161" s="15"/>
      <c r="L161" s="15"/>
      <c r="M161" s="15"/>
    </row>
    <row r="162" spans="2:13" ht="14">
      <c r="B162" s="15"/>
      <c r="C162" s="15"/>
      <c r="D162" s="15"/>
      <c r="E162" s="15"/>
      <c r="F162" s="15"/>
      <c r="G162" s="15"/>
      <c r="H162" s="19"/>
      <c r="I162" s="19"/>
      <c r="J162" s="15"/>
      <c r="K162" s="15"/>
      <c r="L162" s="15"/>
      <c r="M162" s="15"/>
    </row>
    <row r="163" spans="2:13" ht="14">
      <c r="B163" s="15"/>
      <c r="C163" s="15"/>
      <c r="D163" s="15"/>
      <c r="E163" s="15"/>
      <c r="F163" s="15"/>
      <c r="G163" s="15"/>
      <c r="H163" s="19"/>
      <c r="I163" s="19"/>
      <c r="J163" s="15"/>
      <c r="K163" s="15"/>
      <c r="L163" s="15"/>
      <c r="M163" s="15"/>
    </row>
    <row r="164" spans="2:13" ht="14">
      <c r="B164" s="15"/>
      <c r="C164" s="15"/>
      <c r="D164" s="15"/>
      <c r="E164" s="15"/>
      <c r="F164" s="15"/>
      <c r="G164" s="15"/>
      <c r="H164" s="19"/>
      <c r="I164" s="19"/>
      <c r="J164" s="15"/>
      <c r="K164" s="15"/>
      <c r="L164" s="15"/>
      <c r="M164" s="15"/>
    </row>
    <row r="165" spans="2:13" ht="14">
      <c r="B165" s="15"/>
      <c r="C165" s="15"/>
      <c r="D165" s="15"/>
      <c r="E165" s="15"/>
      <c r="F165" s="15"/>
      <c r="G165" s="15"/>
      <c r="H165" s="19"/>
      <c r="I165" s="19"/>
      <c r="J165" s="15"/>
      <c r="K165" s="15"/>
      <c r="L165" s="15"/>
      <c r="M165" s="15"/>
    </row>
    <row r="166" spans="2:13" ht="14">
      <c r="B166" s="15"/>
      <c r="C166" s="15"/>
      <c r="D166" s="15"/>
      <c r="E166" s="15"/>
      <c r="F166" s="15"/>
      <c r="G166" s="15"/>
      <c r="H166" s="19"/>
      <c r="I166" s="19"/>
      <c r="J166" s="15"/>
      <c r="K166" s="15"/>
      <c r="L166" s="15"/>
      <c r="M166" s="15"/>
    </row>
    <row r="167" spans="2:13" ht="14">
      <c r="B167" s="15"/>
      <c r="C167" s="15"/>
      <c r="D167" s="15"/>
      <c r="E167" s="15"/>
      <c r="F167" s="15"/>
      <c r="G167" s="15"/>
      <c r="H167" s="19"/>
      <c r="I167" s="19"/>
      <c r="J167" s="15"/>
      <c r="K167" s="15"/>
      <c r="L167" s="15"/>
      <c r="M167" s="15"/>
    </row>
    <row r="168" spans="2:13" ht="14">
      <c r="B168" s="15"/>
      <c r="C168" s="15"/>
      <c r="D168" s="15"/>
      <c r="E168" s="15"/>
      <c r="F168" s="15"/>
      <c r="G168" s="15"/>
      <c r="H168" s="19"/>
      <c r="I168" s="19"/>
      <c r="J168" s="15"/>
      <c r="K168" s="15"/>
      <c r="L168" s="15"/>
      <c r="M168" s="15"/>
    </row>
    <row r="169" spans="2:13" ht="14">
      <c r="B169" s="15"/>
      <c r="C169" s="15"/>
      <c r="D169" s="15"/>
      <c r="E169" s="15"/>
      <c r="F169" s="15"/>
      <c r="G169" s="15"/>
      <c r="H169" s="19"/>
      <c r="I169" s="19"/>
      <c r="J169" s="15"/>
      <c r="K169" s="15"/>
      <c r="L169" s="15"/>
      <c r="M169" s="15"/>
    </row>
    <row r="170" spans="2:13" ht="14">
      <c r="B170" s="15"/>
      <c r="C170" s="15"/>
      <c r="D170" s="15"/>
      <c r="E170" s="15"/>
      <c r="F170" s="15"/>
      <c r="G170" s="15"/>
      <c r="H170" s="19"/>
      <c r="I170" s="19"/>
      <c r="J170" s="15"/>
      <c r="K170" s="15"/>
      <c r="L170" s="15"/>
      <c r="M170" s="15"/>
    </row>
    <row r="171" spans="2:13" ht="14">
      <c r="B171" s="15"/>
      <c r="C171" s="15"/>
      <c r="D171" s="15"/>
      <c r="E171" s="15"/>
      <c r="F171" s="15"/>
      <c r="G171" s="15"/>
      <c r="H171" s="19"/>
      <c r="I171" s="19"/>
      <c r="J171" s="15"/>
      <c r="K171" s="15"/>
      <c r="L171" s="15"/>
      <c r="M171" s="15"/>
    </row>
    <row r="172" spans="2:13" ht="14">
      <c r="B172" s="15"/>
      <c r="C172" s="15"/>
      <c r="D172" s="15"/>
      <c r="E172" s="15"/>
      <c r="F172" s="15"/>
      <c r="G172" s="15"/>
      <c r="H172" s="19"/>
      <c r="I172" s="19"/>
      <c r="J172" s="15"/>
      <c r="K172" s="15"/>
      <c r="L172" s="15"/>
      <c r="M172" s="15"/>
    </row>
    <row r="173" spans="2:13" ht="14">
      <c r="B173" s="15"/>
      <c r="C173" s="15"/>
      <c r="D173" s="15"/>
      <c r="E173" s="15"/>
      <c r="F173" s="15"/>
      <c r="G173" s="15"/>
      <c r="H173" s="19"/>
      <c r="I173" s="19"/>
      <c r="J173" s="15"/>
      <c r="K173" s="15"/>
      <c r="L173" s="15"/>
      <c r="M173" s="15"/>
    </row>
    <row r="174" spans="2:13" ht="14">
      <c r="B174" s="15"/>
      <c r="C174" s="15"/>
      <c r="D174" s="15"/>
      <c r="E174" s="15"/>
      <c r="F174" s="15"/>
      <c r="G174" s="15"/>
      <c r="H174" s="19"/>
      <c r="I174" s="19"/>
      <c r="J174" s="15"/>
      <c r="K174" s="15"/>
      <c r="L174" s="15"/>
      <c r="M174" s="15"/>
    </row>
    <row r="175" spans="2:13" ht="14">
      <c r="B175" s="15"/>
      <c r="C175" s="15"/>
      <c r="D175" s="15"/>
      <c r="E175" s="15"/>
      <c r="F175" s="15"/>
      <c r="G175" s="15"/>
      <c r="H175" s="19"/>
      <c r="I175" s="19"/>
      <c r="J175" s="15"/>
      <c r="K175" s="15"/>
      <c r="L175" s="15"/>
      <c r="M175" s="15"/>
    </row>
    <row r="176" spans="2:13" ht="14">
      <c r="B176" s="15"/>
      <c r="C176" s="15"/>
      <c r="D176" s="15"/>
      <c r="E176" s="15"/>
      <c r="F176" s="15"/>
      <c r="G176" s="15"/>
      <c r="H176" s="19"/>
      <c r="I176" s="19"/>
      <c r="J176" s="15"/>
      <c r="K176" s="15"/>
      <c r="L176" s="15"/>
      <c r="M176" s="15"/>
    </row>
    <row r="177" spans="2:13" ht="14">
      <c r="B177" s="15"/>
      <c r="C177" s="15"/>
      <c r="D177" s="15"/>
      <c r="E177" s="15"/>
      <c r="F177" s="15"/>
      <c r="G177" s="15"/>
      <c r="H177" s="19"/>
      <c r="I177" s="19"/>
      <c r="J177" s="15"/>
      <c r="K177" s="15"/>
      <c r="L177" s="15"/>
      <c r="M177" s="15"/>
    </row>
    <row r="178" spans="2:13" ht="14">
      <c r="B178" s="15"/>
      <c r="C178" s="15"/>
      <c r="D178" s="15"/>
      <c r="E178" s="15"/>
      <c r="F178" s="15"/>
      <c r="G178" s="15"/>
      <c r="H178" s="19"/>
      <c r="I178" s="19"/>
      <c r="J178" s="15"/>
      <c r="K178" s="15"/>
      <c r="L178" s="15"/>
      <c r="M178" s="15"/>
    </row>
    <row r="179" spans="2:13" ht="14">
      <c r="B179" s="15"/>
      <c r="C179" s="15"/>
      <c r="D179" s="15"/>
      <c r="E179" s="15"/>
      <c r="F179" s="15"/>
      <c r="G179" s="15"/>
      <c r="H179" s="19"/>
      <c r="I179" s="19"/>
      <c r="J179" s="15"/>
      <c r="K179" s="15"/>
      <c r="L179" s="15"/>
      <c r="M179" s="15"/>
    </row>
    <row r="180" spans="2:13" ht="14">
      <c r="B180" s="15"/>
      <c r="C180" s="15"/>
      <c r="D180" s="15"/>
      <c r="E180" s="15"/>
      <c r="F180" s="15"/>
      <c r="G180" s="15"/>
      <c r="H180" s="19"/>
      <c r="I180" s="19"/>
      <c r="J180" s="15"/>
      <c r="K180" s="15"/>
      <c r="L180" s="15"/>
      <c r="M180" s="15"/>
    </row>
    <row r="181" spans="2:13" ht="14">
      <c r="B181" s="15"/>
      <c r="C181" s="15"/>
      <c r="D181" s="15"/>
      <c r="E181" s="15"/>
      <c r="F181" s="15"/>
      <c r="G181" s="15"/>
      <c r="H181" s="19"/>
      <c r="I181" s="19"/>
      <c r="J181" s="15"/>
      <c r="K181" s="15"/>
      <c r="L181" s="15"/>
      <c r="M181" s="15"/>
    </row>
    <row r="182" spans="2:13" ht="14">
      <c r="B182" s="15"/>
      <c r="C182" s="15"/>
      <c r="D182" s="15"/>
      <c r="E182" s="15"/>
      <c r="F182" s="15"/>
      <c r="G182" s="15"/>
      <c r="H182" s="19"/>
      <c r="I182" s="19"/>
      <c r="J182" s="15"/>
      <c r="K182" s="15"/>
      <c r="L182" s="15"/>
      <c r="M182" s="15"/>
    </row>
    <row r="183" spans="2:13" ht="14">
      <c r="B183" s="15"/>
      <c r="C183" s="15"/>
      <c r="D183" s="15"/>
      <c r="E183" s="15"/>
      <c r="F183" s="15"/>
      <c r="G183" s="15"/>
      <c r="H183" s="19"/>
      <c r="I183" s="19"/>
      <c r="J183" s="15"/>
      <c r="K183" s="15"/>
      <c r="L183" s="15"/>
      <c r="M183" s="15"/>
    </row>
    <row r="184" spans="2:13" ht="14">
      <c r="B184" s="15"/>
      <c r="C184" s="15"/>
      <c r="D184" s="15"/>
      <c r="E184" s="15"/>
      <c r="F184" s="15"/>
      <c r="G184" s="15"/>
      <c r="H184" s="19"/>
      <c r="I184" s="19"/>
      <c r="J184" s="15"/>
      <c r="K184" s="15"/>
      <c r="L184" s="15"/>
      <c r="M184" s="15"/>
    </row>
    <row r="185" spans="2:13" ht="14">
      <c r="B185" s="15"/>
      <c r="C185" s="15"/>
      <c r="D185" s="15"/>
      <c r="E185" s="15"/>
      <c r="F185" s="15"/>
      <c r="G185" s="15"/>
      <c r="H185" s="19"/>
      <c r="I185" s="19"/>
      <c r="J185" s="15"/>
      <c r="K185" s="15"/>
      <c r="L185" s="15"/>
      <c r="M185" s="15"/>
    </row>
    <row r="186" spans="2:13" ht="14">
      <c r="B186" s="15"/>
      <c r="C186" s="15"/>
      <c r="D186" s="15"/>
      <c r="E186" s="15"/>
      <c r="F186" s="15"/>
      <c r="G186" s="15"/>
      <c r="H186" s="19"/>
      <c r="I186" s="19"/>
      <c r="J186" s="15"/>
      <c r="K186" s="15"/>
      <c r="L186" s="15"/>
      <c r="M186" s="15"/>
    </row>
    <row r="187" spans="2:13" ht="14">
      <c r="B187" s="15"/>
      <c r="C187" s="15"/>
      <c r="D187" s="15"/>
      <c r="E187" s="15"/>
      <c r="F187" s="15"/>
      <c r="G187" s="15"/>
      <c r="H187" s="19"/>
      <c r="I187" s="19"/>
      <c r="J187" s="15"/>
      <c r="K187" s="15"/>
      <c r="L187" s="15"/>
      <c r="M187" s="15"/>
    </row>
    <row r="188" spans="2:13" ht="14">
      <c r="B188" s="15"/>
      <c r="C188" s="15"/>
      <c r="D188" s="15"/>
      <c r="E188" s="15"/>
      <c r="F188" s="15"/>
      <c r="G188" s="15"/>
      <c r="H188" s="19"/>
      <c r="I188" s="19"/>
      <c r="J188" s="15"/>
      <c r="K188" s="15"/>
      <c r="L188" s="15"/>
      <c r="M188" s="15"/>
    </row>
    <row r="189" spans="2:13" ht="14">
      <c r="B189" s="15"/>
      <c r="C189" s="15"/>
      <c r="D189" s="15"/>
      <c r="E189" s="15"/>
      <c r="F189" s="15"/>
      <c r="G189" s="15"/>
      <c r="H189" s="19"/>
      <c r="I189" s="19"/>
      <c r="J189" s="15"/>
      <c r="K189" s="15"/>
      <c r="L189" s="15"/>
      <c r="M189" s="15"/>
    </row>
    <row r="190" spans="2:13" ht="14">
      <c r="B190" s="15"/>
      <c r="C190" s="15"/>
      <c r="D190" s="15"/>
      <c r="E190" s="15"/>
      <c r="F190" s="15"/>
      <c r="G190" s="15"/>
      <c r="H190" s="19"/>
      <c r="I190" s="19"/>
      <c r="J190" s="15"/>
      <c r="K190" s="15"/>
      <c r="L190" s="15"/>
      <c r="M190" s="15"/>
    </row>
    <row r="191" spans="2:13" ht="14">
      <c r="B191" s="15"/>
      <c r="C191" s="15"/>
      <c r="D191" s="15"/>
      <c r="E191" s="15"/>
      <c r="F191" s="15"/>
      <c r="G191" s="15"/>
      <c r="H191" s="19"/>
      <c r="I191" s="19"/>
      <c r="J191" s="15"/>
      <c r="K191" s="15"/>
      <c r="L191" s="15"/>
      <c r="M191" s="15"/>
    </row>
    <row r="192" spans="2:13" ht="14">
      <c r="B192" s="15"/>
      <c r="C192" s="15"/>
      <c r="D192" s="15"/>
      <c r="E192" s="15"/>
      <c r="F192" s="15"/>
      <c r="G192" s="15"/>
      <c r="H192" s="19"/>
      <c r="I192" s="19"/>
      <c r="J192" s="15"/>
      <c r="K192" s="15"/>
      <c r="L192" s="15"/>
      <c r="M192" s="15"/>
    </row>
    <row r="193" spans="2:13" ht="14">
      <c r="B193" s="15"/>
      <c r="C193" s="15"/>
      <c r="D193" s="15"/>
      <c r="E193" s="15"/>
      <c r="F193" s="15"/>
      <c r="G193" s="15"/>
      <c r="H193" s="19"/>
      <c r="I193" s="19"/>
      <c r="J193" s="15"/>
      <c r="K193" s="15"/>
      <c r="L193" s="15"/>
      <c r="M193" s="15"/>
    </row>
    <row r="194" spans="2:13" ht="14">
      <c r="B194" s="15"/>
      <c r="C194" s="15"/>
      <c r="D194" s="15"/>
      <c r="E194" s="15"/>
      <c r="F194" s="15"/>
      <c r="G194" s="15"/>
      <c r="H194" s="19"/>
      <c r="I194" s="19"/>
      <c r="J194" s="15"/>
      <c r="K194" s="15"/>
      <c r="L194" s="15"/>
      <c r="M194" s="15"/>
    </row>
    <row r="195" spans="2:13" ht="14">
      <c r="B195" s="15"/>
      <c r="C195" s="15"/>
      <c r="D195" s="15"/>
      <c r="E195" s="15"/>
      <c r="F195" s="15"/>
      <c r="G195" s="15"/>
      <c r="H195" s="19"/>
      <c r="I195" s="19"/>
      <c r="J195" s="15"/>
      <c r="K195" s="15"/>
      <c r="L195" s="15"/>
      <c r="M195" s="15"/>
    </row>
    <row r="196" spans="2:13" ht="14">
      <c r="B196" s="15"/>
      <c r="C196" s="15"/>
      <c r="D196" s="15"/>
      <c r="E196" s="15"/>
      <c r="F196" s="15"/>
      <c r="G196" s="15"/>
      <c r="H196" s="19"/>
      <c r="I196" s="19"/>
      <c r="J196" s="15"/>
      <c r="K196" s="15"/>
      <c r="L196" s="15"/>
      <c r="M196" s="15"/>
    </row>
    <row r="197" spans="2:13" ht="14">
      <c r="B197" s="15"/>
      <c r="C197" s="15"/>
      <c r="D197" s="15"/>
      <c r="E197" s="15"/>
      <c r="F197" s="15"/>
      <c r="G197" s="15"/>
      <c r="H197" s="19"/>
      <c r="I197" s="19"/>
      <c r="J197" s="15"/>
      <c r="K197" s="15"/>
      <c r="L197" s="15"/>
      <c r="M197" s="15"/>
    </row>
    <row r="198" spans="2:13" ht="14">
      <c r="B198" s="15"/>
      <c r="C198" s="15"/>
      <c r="D198" s="15"/>
      <c r="E198" s="15"/>
      <c r="F198" s="15"/>
      <c r="G198" s="15"/>
      <c r="H198" s="19"/>
      <c r="I198" s="19"/>
      <c r="J198" s="15"/>
      <c r="K198" s="15"/>
      <c r="L198" s="15"/>
      <c r="M198" s="15"/>
    </row>
    <row r="199" spans="2:13" ht="14">
      <c r="B199" s="15"/>
      <c r="C199" s="15"/>
      <c r="D199" s="15"/>
      <c r="E199" s="15"/>
      <c r="F199" s="15"/>
      <c r="G199" s="15"/>
      <c r="H199" s="19"/>
      <c r="I199" s="19"/>
      <c r="J199" s="15"/>
      <c r="K199" s="15"/>
      <c r="L199" s="15"/>
      <c r="M199" s="15"/>
    </row>
    <row r="200" spans="2:13" ht="14">
      <c r="B200" s="15"/>
      <c r="C200" s="15"/>
      <c r="D200" s="15"/>
      <c r="E200" s="15"/>
      <c r="F200" s="15"/>
      <c r="G200" s="15"/>
      <c r="H200" s="19"/>
      <c r="I200" s="19"/>
      <c r="J200" s="15"/>
      <c r="K200" s="15"/>
      <c r="L200" s="15"/>
      <c r="M200" s="15"/>
    </row>
    <row r="201" spans="2:13" ht="14">
      <c r="B201" s="15"/>
      <c r="C201" s="15"/>
      <c r="D201" s="15"/>
      <c r="E201" s="15"/>
      <c r="F201" s="15"/>
      <c r="G201" s="15"/>
      <c r="H201" s="19"/>
      <c r="I201" s="19"/>
      <c r="J201" s="15"/>
      <c r="K201" s="15"/>
      <c r="L201" s="15"/>
      <c r="M201" s="15"/>
    </row>
    <row r="202" spans="2:13" ht="14">
      <c r="B202" s="15"/>
      <c r="C202" s="15"/>
      <c r="D202" s="15"/>
      <c r="E202" s="15"/>
      <c r="F202" s="15"/>
      <c r="G202" s="15"/>
      <c r="H202" s="19"/>
      <c r="I202" s="19"/>
      <c r="J202" s="15"/>
      <c r="K202" s="15"/>
      <c r="L202" s="15"/>
      <c r="M202" s="15"/>
    </row>
    <row r="203" spans="2:13" ht="14">
      <c r="B203" s="15"/>
      <c r="C203" s="15"/>
      <c r="D203" s="15"/>
      <c r="E203" s="15"/>
      <c r="F203" s="15"/>
      <c r="G203" s="15"/>
      <c r="H203" s="19"/>
      <c r="I203" s="19"/>
      <c r="J203" s="15"/>
      <c r="K203" s="15"/>
      <c r="L203" s="15"/>
      <c r="M203" s="15"/>
    </row>
    <row r="204" spans="2:13" ht="14">
      <c r="B204" s="15"/>
      <c r="C204" s="15"/>
      <c r="D204" s="15"/>
      <c r="E204" s="15"/>
      <c r="F204" s="15"/>
      <c r="G204" s="15"/>
      <c r="H204" s="19"/>
      <c r="I204" s="19"/>
      <c r="J204" s="15"/>
      <c r="K204" s="15"/>
      <c r="L204" s="15"/>
      <c r="M204" s="15"/>
    </row>
    <row r="205" spans="2:13" ht="14">
      <c r="B205" s="15"/>
      <c r="C205" s="15"/>
      <c r="D205" s="15"/>
      <c r="E205" s="15"/>
      <c r="F205" s="15"/>
      <c r="G205" s="15"/>
      <c r="H205" s="19"/>
      <c r="I205" s="19"/>
      <c r="J205" s="15"/>
      <c r="K205" s="15"/>
      <c r="L205" s="15"/>
      <c r="M205" s="15"/>
    </row>
    <row r="206" spans="2:13" ht="14">
      <c r="B206" s="15"/>
      <c r="C206" s="15"/>
      <c r="D206" s="15"/>
      <c r="E206" s="15"/>
      <c r="F206" s="15"/>
      <c r="G206" s="15"/>
      <c r="H206" s="19"/>
      <c r="I206" s="19"/>
      <c r="J206" s="15"/>
      <c r="K206" s="15"/>
      <c r="L206" s="15"/>
      <c r="M206" s="15"/>
    </row>
    <row r="207" spans="2:13" ht="14">
      <c r="B207" s="15"/>
      <c r="C207" s="15"/>
      <c r="D207" s="15"/>
      <c r="E207" s="15"/>
      <c r="F207" s="15"/>
      <c r="G207" s="15"/>
      <c r="H207" s="19"/>
      <c r="I207" s="19"/>
      <c r="J207" s="15"/>
      <c r="K207" s="15"/>
      <c r="L207" s="15"/>
      <c r="M207" s="15"/>
    </row>
    <row r="208" spans="2:13" ht="14">
      <c r="B208" s="15"/>
      <c r="C208" s="15"/>
      <c r="D208" s="15"/>
      <c r="E208" s="15"/>
      <c r="F208" s="15"/>
      <c r="G208" s="15"/>
      <c r="H208" s="19"/>
      <c r="I208" s="19"/>
      <c r="J208" s="15"/>
      <c r="K208" s="15"/>
      <c r="L208" s="15"/>
      <c r="M208" s="15"/>
    </row>
    <row r="209" spans="2:13" ht="14">
      <c r="B209" s="15"/>
      <c r="C209" s="15"/>
      <c r="D209" s="15"/>
      <c r="E209" s="15"/>
      <c r="F209" s="15"/>
      <c r="G209" s="15"/>
      <c r="H209" s="19"/>
      <c r="I209" s="19"/>
      <c r="J209" s="15"/>
      <c r="K209" s="15"/>
      <c r="L209" s="15"/>
      <c r="M209" s="15"/>
    </row>
    <row r="210" spans="2:13" ht="14">
      <c r="B210" s="15"/>
      <c r="C210" s="15"/>
      <c r="D210" s="15"/>
      <c r="E210" s="15"/>
      <c r="F210" s="15"/>
      <c r="G210" s="15"/>
      <c r="H210" s="19"/>
      <c r="I210" s="19"/>
      <c r="J210" s="15"/>
      <c r="K210" s="15"/>
      <c r="L210" s="15"/>
      <c r="M210" s="15"/>
    </row>
    <row r="211" spans="2:13" ht="14">
      <c r="B211" s="15"/>
      <c r="C211" s="15"/>
      <c r="D211" s="15"/>
      <c r="E211" s="15"/>
      <c r="F211" s="15"/>
      <c r="G211" s="15"/>
      <c r="H211" s="19"/>
      <c r="I211" s="19"/>
      <c r="J211" s="15"/>
      <c r="K211" s="15"/>
      <c r="L211" s="15"/>
      <c r="M211" s="15"/>
    </row>
    <row r="212" spans="2:13" ht="14">
      <c r="B212" s="15"/>
      <c r="C212" s="15"/>
      <c r="D212" s="15"/>
      <c r="E212" s="15"/>
      <c r="F212" s="15"/>
      <c r="G212" s="15"/>
      <c r="H212" s="19"/>
      <c r="I212" s="19"/>
      <c r="J212" s="15"/>
      <c r="K212" s="15"/>
      <c r="L212" s="15"/>
      <c r="M212" s="15"/>
    </row>
    <row r="213" spans="2:13" ht="14">
      <c r="B213" s="15"/>
      <c r="C213" s="15"/>
      <c r="D213" s="15"/>
      <c r="E213" s="15"/>
      <c r="F213" s="15"/>
      <c r="G213" s="15"/>
      <c r="H213" s="19"/>
      <c r="I213" s="19"/>
      <c r="J213" s="15"/>
      <c r="K213" s="15"/>
      <c r="L213" s="15"/>
      <c r="M213" s="15"/>
    </row>
    <row r="214" spans="2:13" ht="14">
      <c r="B214" s="15"/>
      <c r="C214" s="15"/>
      <c r="D214" s="15"/>
      <c r="E214" s="15"/>
      <c r="F214" s="15"/>
      <c r="G214" s="15"/>
      <c r="H214" s="19"/>
      <c r="I214" s="19"/>
      <c r="J214" s="15"/>
      <c r="K214" s="15"/>
      <c r="L214" s="15"/>
      <c r="M214" s="15"/>
    </row>
    <row r="215" spans="2:13" ht="14">
      <c r="B215" s="15"/>
      <c r="C215" s="15"/>
      <c r="D215" s="15"/>
      <c r="E215" s="15"/>
      <c r="F215" s="15"/>
      <c r="G215" s="15"/>
      <c r="H215" s="19"/>
      <c r="I215" s="19"/>
      <c r="J215" s="15"/>
      <c r="K215" s="15"/>
      <c r="L215" s="15"/>
      <c r="M215" s="15"/>
    </row>
    <row r="216" spans="2:13" ht="14">
      <c r="B216" s="15"/>
      <c r="C216" s="15"/>
      <c r="D216" s="15"/>
      <c r="E216" s="15"/>
      <c r="F216" s="15"/>
      <c r="G216" s="15"/>
      <c r="H216" s="19"/>
      <c r="I216" s="19"/>
      <c r="J216" s="15"/>
      <c r="K216" s="15"/>
      <c r="L216" s="15"/>
      <c r="M216" s="15"/>
    </row>
    <row r="217" spans="2:13" ht="14">
      <c r="B217" s="15"/>
      <c r="C217" s="15"/>
      <c r="D217" s="15"/>
      <c r="E217" s="15"/>
      <c r="F217" s="15"/>
      <c r="G217" s="15"/>
      <c r="H217" s="19"/>
      <c r="I217" s="19"/>
      <c r="J217" s="15"/>
      <c r="K217" s="15"/>
      <c r="L217" s="15"/>
      <c r="M217" s="15"/>
    </row>
    <row r="218" spans="2:13" ht="14">
      <c r="B218" s="15"/>
      <c r="C218" s="15"/>
      <c r="D218" s="15"/>
      <c r="E218" s="15"/>
      <c r="F218" s="15"/>
      <c r="G218" s="15"/>
      <c r="H218" s="19"/>
      <c r="I218" s="19"/>
      <c r="J218" s="15"/>
      <c r="K218" s="15"/>
      <c r="L218" s="15"/>
      <c r="M218" s="15"/>
    </row>
    <row r="219" spans="2:13" ht="14">
      <c r="B219" s="15"/>
      <c r="C219" s="15"/>
      <c r="D219" s="15"/>
      <c r="E219" s="15"/>
      <c r="F219" s="15"/>
      <c r="G219" s="15"/>
      <c r="H219" s="19"/>
      <c r="I219" s="19"/>
      <c r="J219" s="15"/>
      <c r="K219" s="15"/>
      <c r="L219" s="15"/>
      <c r="M219" s="15"/>
    </row>
    <row r="220" spans="2:13" ht="14">
      <c r="B220" s="15"/>
      <c r="C220" s="15"/>
      <c r="D220" s="15"/>
      <c r="E220" s="15"/>
      <c r="F220" s="15"/>
      <c r="G220" s="15"/>
      <c r="H220" s="19"/>
      <c r="I220" s="19"/>
      <c r="J220" s="15"/>
      <c r="K220" s="15"/>
      <c r="L220" s="15"/>
      <c r="M220" s="15"/>
    </row>
    <row r="221" spans="2:13" ht="14">
      <c r="B221" s="15"/>
      <c r="C221" s="15"/>
      <c r="D221" s="15"/>
      <c r="E221" s="15"/>
      <c r="F221" s="15"/>
      <c r="G221" s="15"/>
      <c r="H221" s="19"/>
      <c r="I221" s="19"/>
      <c r="J221" s="15"/>
      <c r="K221" s="15"/>
      <c r="L221" s="15"/>
      <c r="M221" s="15"/>
    </row>
    <row r="222" spans="2:13" ht="14">
      <c r="B222" s="15"/>
      <c r="C222" s="15"/>
      <c r="D222" s="15"/>
      <c r="E222" s="15"/>
      <c r="F222" s="15"/>
      <c r="G222" s="15"/>
      <c r="H222" s="19"/>
      <c r="I222" s="19"/>
      <c r="J222" s="15"/>
      <c r="K222" s="15"/>
      <c r="L222" s="15"/>
      <c r="M222" s="15"/>
    </row>
    <row r="223" spans="2:13" ht="14">
      <c r="B223" s="15"/>
      <c r="C223" s="15"/>
      <c r="D223" s="15"/>
      <c r="E223" s="15"/>
      <c r="F223" s="15"/>
      <c r="G223" s="15"/>
      <c r="H223" s="19"/>
      <c r="I223" s="19"/>
      <c r="J223" s="15"/>
      <c r="K223" s="15"/>
      <c r="L223" s="15"/>
      <c r="M223" s="15"/>
    </row>
    <row r="224" spans="2:13" ht="14">
      <c r="B224" s="15"/>
      <c r="C224" s="15"/>
      <c r="D224" s="15"/>
      <c r="E224" s="15"/>
      <c r="F224" s="15"/>
      <c r="G224" s="15"/>
      <c r="H224" s="19"/>
      <c r="I224" s="19"/>
      <c r="J224" s="15"/>
      <c r="K224" s="15"/>
      <c r="L224" s="15"/>
      <c r="M224" s="15"/>
    </row>
    <row r="225" spans="2:13" ht="14">
      <c r="B225" s="15"/>
      <c r="C225" s="15"/>
      <c r="D225" s="15"/>
      <c r="E225" s="15"/>
      <c r="F225" s="15"/>
      <c r="G225" s="15"/>
      <c r="H225" s="19"/>
      <c r="I225" s="19"/>
      <c r="J225" s="15"/>
      <c r="K225" s="15"/>
      <c r="L225" s="15"/>
      <c r="M225" s="15"/>
    </row>
    <row r="226" spans="2:13" ht="14">
      <c r="B226" s="15"/>
      <c r="C226" s="15"/>
      <c r="D226" s="15"/>
      <c r="E226" s="15"/>
      <c r="F226" s="15"/>
      <c r="G226" s="15"/>
      <c r="H226" s="19"/>
      <c r="I226" s="19"/>
      <c r="J226" s="15"/>
      <c r="K226" s="15"/>
      <c r="L226" s="15"/>
      <c r="M226" s="15"/>
    </row>
    <row r="227" spans="2:13" ht="14">
      <c r="B227" s="15"/>
      <c r="C227" s="15"/>
      <c r="D227" s="15"/>
      <c r="E227" s="15"/>
      <c r="F227" s="15"/>
      <c r="G227" s="15"/>
      <c r="H227" s="19"/>
      <c r="I227" s="19"/>
      <c r="J227" s="15"/>
      <c r="K227" s="15"/>
      <c r="L227" s="15"/>
      <c r="M227" s="15"/>
    </row>
    <row r="228" spans="2:13" ht="14">
      <c r="B228" s="15"/>
      <c r="C228" s="15"/>
      <c r="D228" s="15"/>
      <c r="E228" s="15"/>
      <c r="F228" s="15"/>
      <c r="G228" s="15"/>
      <c r="H228" s="19"/>
      <c r="I228" s="19"/>
      <c r="J228" s="15"/>
      <c r="K228" s="15"/>
      <c r="L228" s="15"/>
      <c r="M228" s="15"/>
    </row>
    <row r="229" spans="2:13" ht="14">
      <c r="B229" s="15"/>
      <c r="C229" s="15"/>
      <c r="D229" s="15"/>
      <c r="E229" s="15"/>
      <c r="F229" s="15"/>
      <c r="G229" s="15"/>
      <c r="H229" s="19"/>
      <c r="I229" s="19"/>
      <c r="J229" s="15"/>
      <c r="K229" s="15"/>
      <c r="L229" s="15"/>
      <c r="M229" s="15"/>
    </row>
    <row r="230" spans="2:13" ht="14">
      <c r="B230" s="15"/>
      <c r="C230" s="15"/>
      <c r="D230" s="15"/>
      <c r="E230" s="15"/>
      <c r="F230" s="15"/>
      <c r="G230" s="15"/>
      <c r="H230" s="19"/>
      <c r="I230" s="19"/>
      <c r="J230" s="15"/>
      <c r="K230" s="15"/>
      <c r="L230" s="15"/>
      <c r="M230" s="15"/>
    </row>
    <row r="231" spans="2:13" ht="14">
      <c r="B231" s="15"/>
      <c r="C231" s="15"/>
      <c r="D231" s="15"/>
      <c r="E231" s="15"/>
      <c r="F231" s="15"/>
      <c r="G231" s="15"/>
      <c r="H231" s="19"/>
      <c r="I231" s="19"/>
      <c r="J231" s="15"/>
      <c r="K231" s="15"/>
      <c r="L231" s="15"/>
      <c r="M231" s="15"/>
    </row>
    <row r="232" spans="2:13" ht="14">
      <c r="B232" s="15"/>
      <c r="C232" s="15"/>
      <c r="D232" s="15"/>
      <c r="E232" s="15"/>
      <c r="F232" s="15"/>
      <c r="G232" s="15"/>
      <c r="H232" s="19"/>
      <c r="I232" s="19"/>
      <c r="J232" s="15"/>
      <c r="K232" s="15"/>
      <c r="L232" s="15"/>
      <c r="M232" s="15"/>
    </row>
    <row r="233" spans="2:13" ht="14">
      <c r="B233" s="15"/>
      <c r="C233" s="15"/>
      <c r="D233" s="15"/>
      <c r="E233" s="15"/>
      <c r="F233" s="15"/>
      <c r="G233" s="15"/>
      <c r="H233" s="19"/>
      <c r="I233" s="19"/>
      <c r="J233" s="15"/>
      <c r="K233" s="15"/>
      <c r="L233" s="15"/>
      <c r="M233" s="15"/>
    </row>
    <row r="234" spans="2:13" ht="14">
      <c r="B234" s="15"/>
      <c r="C234" s="15"/>
      <c r="D234" s="15"/>
      <c r="E234" s="15"/>
      <c r="F234" s="15"/>
      <c r="G234" s="15"/>
      <c r="H234" s="19"/>
      <c r="I234" s="19"/>
      <c r="J234" s="15"/>
      <c r="K234" s="15"/>
      <c r="L234" s="15"/>
      <c r="M234" s="15"/>
    </row>
    <row r="235" spans="2:13" ht="14">
      <c r="B235" s="15"/>
      <c r="C235" s="15"/>
      <c r="D235" s="15"/>
      <c r="E235" s="15"/>
      <c r="F235" s="15"/>
      <c r="G235" s="15"/>
      <c r="H235" s="19"/>
      <c r="I235" s="19"/>
      <c r="J235" s="15"/>
      <c r="K235" s="15"/>
      <c r="L235" s="15"/>
      <c r="M235" s="15"/>
    </row>
    <row r="236" spans="2:13" ht="14">
      <c r="B236" s="15"/>
      <c r="C236" s="15"/>
      <c r="D236" s="15"/>
      <c r="E236" s="15"/>
      <c r="F236" s="15"/>
      <c r="G236" s="15"/>
      <c r="H236" s="19"/>
      <c r="I236" s="19"/>
      <c r="J236" s="15"/>
      <c r="K236" s="15"/>
      <c r="L236" s="15"/>
      <c r="M236" s="15"/>
    </row>
    <row r="237" spans="2:13" ht="14">
      <c r="B237" s="15"/>
      <c r="C237" s="15"/>
      <c r="D237" s="15"/>
      <c r="E237" s="15"/>
      <c r="F237" s="15"/>
      <c r="G237" s="15"/>
      <c r="H237" s="19"/>
      <c r="I237" s="19"/>
      <c r="J237" s="15"/>
      <c r="K237" s="15"/>
      <c r="L237" s="15"/>
      <c r="M237" s="15"/>
    </row>
    <row r="238" spans="2:13" ht="14">
      <c r="B238" s="15"/>
      <c r="C238" s="15"/>
      <c r="D238" s="15"/>
      <c r="E238" s="15"/>
      <c r="F238" s="15"/>
      <c r="G238" s="15"/>
      <c r="H238" s="19"/>
      <c r="I238" s="19"/>
      <c r="J238" s="15"/>
      <c r="K238" s="15"/>
      <c r="L238" s="15"/>
      <c r="M238" s="15"/>
    </row>
    <row r="239" spans="2:13" ht="14">
      <c r="B239" s="15"/>
      <c r="C239" s="15"/>
      <c r="D239" s="15"/>
      <c r="E239" s="15"/>
      <c r="F239" s="15"/>
      <c r="G239" s="15"/>
      <c r="H239" s="19"/>
      <c r="I239" s="19"/>
      <c r="J239" s="15"/>
      <c r="K239" s="15"/>
      <c r="L239" s="15"/>
      <c r="M239" s="15"/>
    </row>
    <row r="240" spans="2:13" ht="14">
      <c r="B240" s="15"/>
      <c r="C240" s="15"/>
      <c r="D240" s="15"/>
      <c r="E240" s="15"/>
      <c r="F240" s="15"/>
      <c r="G240" s="15"/>
      <c r="H240" s="19"/>
      <c r="I240" s="19"/>
      <c r="J240" s="15"/>
      <c r="K240" s="15"/>
      <c r="L240" s="15"/>
      <c r="M240" s="15"/>
    </row>
    <row r="241" spans="2:13" ht="14">
      <c r="B241" s="15"/>
      <c r="C241" s="15"/>
      <c r="D241" s="15"/>
      <c r="E241" s="15"/>
      <c r="F241" s="15"/>
      <c r="G241" s="15"/>
      <c r="H241" s="19"/>
      <c r="I241" s="19"/>
      <c r="J241" s="15"/>
      <c r="K241" s="15"/>
      <c r="L241" s="15"/>
      <c r="M241" s="15"/>
    </row>
    <row r="242" spans="2:13" ht="14">
      <c r="B242" s="15"/>
      <c r="C242" s="15"/>
      <c r="D242" s="15"/>
      <c r="E242" s="15"/>
      <c r="F242" s="15"/>
      <c r="G242" s="15"/>
      <c r="H242" s="19"/>
      <c r="I242" s="19"/>
      <c r="J242" s="15"/>
      <c r="K242" s="15"/>
      <c r="L242" s="15"/>
      <c r="M242" s="15"/>
    </row>
    <row r="243" spans="2:13" ht="14">
      <c r="B243" s="15"/>
      <c r="C243" s="15"/>
      <c r="D243" s="15"/>
      <c r="E243" s="15"/>
      <c r="F243" s="15"/>
      <c r="G243" s="15"/>
      <c r="H243" s="19"/>
      <c r="I243" s="19"/>
      <c r="J243" s="15"/>
      <c r="K243" s="15"/>
      <c r="L243" s="15"/>
      <c r="M243" s="15"/>
    </row>
    <row r="244" spans="2:13" ht="14">
      <c r="B244" s="15"/>
      <c r="C244" s="15"/>
      <c r="D244" s="15"/>
      <c r="E244" s="15"/>
      <c r="F244" s="15"/>
      <c r="G244" s="15"/>
      <c r="H244" s="19"/>
      <c r="I244" s="19"/>
      <c r="J244" s="15"/>
      <c r="K244" s="15"/>
      <c r="L244" s="15"/>
      <c r="M244" s="15"/>
    </row>
    <row r="245" spans="2:13" ht="14">
      <c r="B245" s="15"/>
      <c r="C245" s="15"/>
      <c r="D245" s="15"/>
      <c r="E245" s="15"/>
      <c r="F245" s="15"/>
      <c r="G245" s="15"/>
      <c r="H245" s="19"/>
      <c r="I245" s="19"/>
      <c r="J245" s="15"/>
      <c r="K245" s="15"/>
      <c r="L245" s="15"/>
      <c r="M245" s="15"/>
    </row>
    <row r="246" spans="2:13" ht="14">
      <c r="B246" s="15"/>
      <c r="C246" s="15"/>
      <c r="D246" s="15"/>
      <c r="E246" s="15"/>
      <c r="F246" s="15"/>
      <c r="G246" s="15"/>
      <c r="H246" s="19"/>
      <c r="I246" s="19"/>
      <c r="J246" s="15"/>
      <c r="K246" s="15"/>
      <c r="L246" s="15"/>
      <c r="M246" s="15"/>
    </row>
    <row r="247" spans="2:13" ht="14">
      <c r="B247" s="15"/>
      <c r="C247" s="15"/>
      <c r="D247" s="15"/>
      <c r="E247" s="15"/>
      <c r="F247" s="15"/>
      <c r="G247" s="15"/>
      <c r="H247" s="19"/>
      <c r="I247" s="19"/>
      <c r="J247" s="15"/>
      <c r="K247" s="15"/>
      <c r="L247" s="15"/>
      <c r="M247" s="15"/>
    </row>
    <row r="248" spans="2:13" ht="14">
      <c r="B248" s="15"/>
      <c r="C248" s="15"/>
      <c r="D248" s="15"/>
      <c r="E248" s="15"/>
      <c r="F248" s="15"/>
      <c r="G248" s="15"/>
      <c r="H248" s="19"/>
      <c r="I248" s="19"/>
      <c r="J248" s="15"/>
      <c r="K248" s="15"/>
      <c r="L248" s="15"/>
      <c r="M248" s="15"/>
    </row>
    <row r="249" spans="2:13" ht="14">
      <c r="B249" s="15"/>
      <c r="C249" s="15"/>
      <c r="D249" s="15"/>
      <c r="E249" s="15"/>
      <c r="F249" s="15"/>
      <c r="G249" s="15"/>
      <c r="H249" s="19"/>
      <c r="I249" s="19"/>
      <c r="J249" s="15"/>
      <c r="K249" s="15"/>
      <c r="L249" s="15"/>
      <c r="M249" s="15"/>
    </row>
    <row r="250" spans="2:13" ht="14">
      <c r="B250" s="15"/>
      <c r="C250" s="15"/>
      <c r="D250" s="15"/>
      <c r="E250" s="15"/>
      <c r="F250" s="15"/>
      <c r="G250" s="15"/>
      <c r="H250" s="19"/>
      <c r="I250" s="19"/>
      <c r="J250" s="15"/>
      <c r="K250" s="15"/>
      <c r="L250" s="15"/>
      <c r="M250" s="15"/>
    </row>
    <row r="251" spans="2:13" ht="14">
      <c r="B251" s="15"/>
      <c r="C251" s="15"/>
      <c r="D251" s="15"/>
      <c r="E251" s="15"/>
      <c r="F251" s="15"/>
      <c r="G251" s="15"/>
      <c r="H251" s="19"/>
      <c r="I251" s="19"/>
      <c r="J251" s="15"/>
      <c r="K251" s="15"/>
      <c r="L251" s="15"/>
      <c r="M251" s="15"/>
    </row>
    <row r="252" spans="2:13" ht="14">
      <c r="B252" s="15"/>
      <c r="C252" s="15"/>
      <c r="D252" s="15"/>
      <c r="E252" s="15"/>
      <c r="F252" s="15"/>
      <c r="G252" s="15"/>
      <c r="H252" s="19"/>
      <c r="I252" s="19"/>
      <c r="J252" s="15"/>
      <c r="K252" s="15"/>
      <c r="L252" s="15"/>
      <c r="M252" s="15"/>
    </row>
    <row r="253" spans="2:13" ht="14">
      <c r="B253" s="15"/>
      <c r="C253" s="15"/>
      <c r="D253" s="15"/>
      <c r="E253" s="15"/>
      <c r="F253" s="15"/>
      <c r="G253" s="15"/>
      <c r="H253" s="19"/>
      <c r="I253" s="19"/>
      <c r="J253" s="15"/>
      <c r="K253" s="15"/>
      <c r="L253" s="15"/>
      <c r="M253" s="15"/>
    </row>
    <row r="254" spans="2:13" ht="14">
      <c r="B254" s="15"/>
      <c r="C254" s="15"/>
      <c r="D254" s="15"/>
      <c r="E254" s="15"/>
      <c r="F254" s="15"/>
      <c r="G254" s="15"/>
      <c r="H254" s="19"/>
      <c r="I254" s="19"/>
      <c r="J254" s="15"/>
      <c r="K254" s="15"/>
      <c r="L254" s="15"/>
      <c r="M254" s="15"/>
    </row>
    <row r="255" spans="2:13" ht="14">
      <c r="B255" s="15"/>
      <c r="C255" s="15"/>
      <c r="D255" s="15"/>
      <c r="E255" s="15"/>
      <c r="F255" s="15"/>
      <c r="G255" s="15"/>
      <c r="H255" s="19"/>
      <c r="I255" s="19"/>
      <c r="J255" s="15"/>
      <c r="K255" s="15"/>
      <c r="L255" s="15"/>
      <c r="M255" s="15"/>
    </row>
    <row r="256" spans="2:13" ht="14">
      <c r="B256" s="15"/>
      <c r="C256" s="15"/>
      <c r="D256" s="15"/>
      <c r="E256" s="15"/>
      <c r="F256" s="15"/>
      <c r="G256" s="15"/>
      <c r="H256" s="19"/>
      <c r="I256" s="19"/>
      <c r="J256" s="15"/>
      <c r="K256" s="15"/>
      <c r="L256" s="15"/>
      <c r="M256" s="15"/>
    </row>
    <row r="257" spans="2:13" ht="14">
      <c r="B257" s="15"/>
      <c r="C257" s="15"/>
      <c r="D257" s="15"/>
      <c r="E257" s="15"/>
      <c r="F257" s="15"/>
      <c r="G257" s="15"/>
      <c r="H257" s="19"/>
      <c r="I257" s="19"/>
      <c r="J257" s="15"/>
      <c r="K257" s="15"/>
      <c r="L257" s="15"/>
      <c r="M257" s="15"/>
    </row>
    <row r="258" spans="2:13" ht="14">
      <c r="B258" s="15"/>
      <c r="C258" s="15"/>
      <c r="D258" s="15"/>
      <c r="E258" s="15"/>
      <c r="F258" s="15"/>
      <c r="G258" s="15"/>
      <c r="H258" s="19"/>
      <c r="I258" s="19"/>
      <c r="J258" s="15"/>
      <c r="K258" s="15"/>
      <c r="L258" s="15"/>
      <c r="M258" s="15"/>
    </row>
    <row r="259" spans="2:13" ht="14">
      <c r="B259" s="15"/>
      <c r="C259" s="15"/>
      <c r="D259" s="15"/>
      <c r="E259" s="15"/>
      <c r="F259" s="15"/>
      <c r="G259" s="15"/>
      <c r="H259" s="19"/>
      <c r="I259" s="19"/>
      <c r="J259" s="15"/>
      <c r="K259" s="15"/>
      <c r="L259" s="15"/>
      <c r="M259" s="15"/>
    </row>
    <row r="260" spans="2:13" ht="14">
      <c r="B260" s="15"/>
      <c r="C260" s="15"/>
      <c r="D260" s="15"/>
      <c r="E260" s="15"/>
      <c r="F260" s="15"/>
      <c r="G260" s="15"/>
      <c r="H260" s="19"/>
      <c r="I260" s="19"/>
      <c r="J260" s="15"/>
      <c r="K260" s="15"/>
      <c r="L260" s="15"/>
      <c r="M260" s="15"/>
    </row>
    <row r="261" spans="2:13" ht="14">
      <c r="B261" s="15"/>
      <c r="C261" s="15"/>
      <c r="D261" s="15"/>
      <c r="E261" s="15"/>
      <c r="F261" s="15"/>
      <c r="G261" s="15"/>
      <c r="H261" s="19"/>
      <c r="I261" s="19"/>
      <c r="J261" s="15"/>
      <c r="K261" s="15"/>
      <c r="L261" s="15"/>
      <c r="M261" s="15"/>
    </row>
    <row r="262" spans="2:13" ht="14">
      <c r="B262" s="15"/>
      <c r="C262" s="15"/>
      <c r="D262" s="15"/>
      <c r="E262" s="15"/>
      <c r="F262" s="15"/>
      <c r="G262" s="15"/>
      <c r="H262" s="19"/>
      <c r="I262" s="19"/>
      <c r="J262" s="15"/>
      <c r="K262" s="15"/>
      <c r="L262" s="15"/>
      <c r="M262" s="15"/>
    </row>
    <row r="263" spans="2:13" ht="14">
      <c r="B263" s="15"/>
      <c r="C263" s="15"/>
      <c r="D263" s="15"/>
      <c r="E263" s="15"/>
      <c r="F263" s="15"/>
      <c r="G263" s="15"/>
      <c r="H263" s="19"/>
      <c r="I263" s="19"/>
      <c r="J263" s="15"/>
      <c r="K263" s="15"/>
      <c r="L263" s="15"/>
      <c r="M263" s="15"/>
    </row>
    <row r="264" spans="2:13" ht="14">
      <c r="B264" s="15"/>
      <c r="C264" s="15"/>
      <c r="D264" s="15"/>
      <c r="E264" s="15"/>
      <c r="F264" s="15"/>
      <c r="G264" s="15"/>
      <c r="H264" s="19"/>
      <c r="I264" s="19"/>
      <c r="J264" s="15"/>
      <c r="K264" s="15"/>
      <c r="L264" s="15"/>
      <c r="M264" s="15"/>
    </row>
    <row r="265" spans="2:13" ht="14">
      <c r="B265" s="15"/>
      <c r="C265" s="15"/>
      <c r="D265" s="15"/>
      <c r="E265" s="15"/>
      <c r="F265" s="15"/>
      <c r="G265" s="15"/>
      <c r="H265" s="19"/>
      <c r="I265" s="19"/>
      <c r="J265" s="15"/>
      <c r="K265" s="15"/>
      <c r="L265" s="15"/>
      <c r="M265" s="15"/>
    </row>
    <row r="266" spans="2:13" ht="14">
      <c r="B266" s="15"/>
      <c r="C266" s="15"/>
      <c r="D266" s="15"/>
      <c r="E266" s="15"/>
      <c r="F266" s="15"/>
      <c r="G266" s="15"/>
      <c r="H266" s="19"/>
      <c r="I266" s="19"/>
      <c r="J266" s="15"/>
      <c r="K266" s="15"/>
      <c r="L266" s="15"/>
      <c r="M266" s="15"/>
    </row>
    <row r="267" spans="2:13" ht="14">
      <c r="B267" s="15"/>
      <c r="C267" s="15"/>
      <c r="D267" s="15"/>
      <c r="E267" s="15"/>
      <c r="F267" s="15"/>
      <c r="G267" s="15"/>
      <c r="H267" s="19"/>
      <c r="I267" s="19"/>
      <c r="J267" s="15"/>
      <c r="K267" s="15"/>
      <c r="L267" s="15"/>
      <c r="M267" s="15"/>
    </row>
    <row r="268" spans="2:13" ht="14">
      <c r="B268" s="15"/>
      <c r="C268" s="15"/>
      <c r="D268" s="15"/>
      <c r="E268" s="15"/>
      <c r="F268" s="15"/>
      <c r="G268" s="15"/>
      <c r="H268" s="19"/>
      <c r="I268" s="19"/>
      <c r="J268" s="15"/>
      <c r="K268" s="15"/>
      <c r="L268" s="15"/>
      <c r="M268" s="15"/>
    </row>
    <row r="269" spans="2:13" ht="14">
      <c r="B269" s="15"/>
      <c r="C269" s="15"/>
      <c r="D269" s="15"/>
      <c r="E269" s="15"/>
      <c r="F269" s="15"/>
      <c r="G269" s="15"/>
      <c r="H269" s="19"/>
      <c r="I269" s="19"/>
      <c r="J269" s="15"/>
      <c r="K269" s="15"/>
      <c r="L269" s="15"/>
      <c r="M269" s="15"/>
    </row>
    <row r="270" spans="2:13" ht="14">
      <c r="B270" s="15"/>
      <c r="C270" s="15"/>
      <c r="D270" s="15"/>
      <c r="E270" s="15"/>
      <c r="F270" s="15"/>
      <c r="G270" s="15"/>
      <c r="H270" s="19"/>
      <c r="I270" s="19"/>
      <c r="J270" s="15"/>
      <c r="K270" s="15"/>
      <c r="L270" s="15"/>
      <c r="M270" s="15"/>
    </row>
    <row r="271" spans="2:13" ht="14">
      <c r="B271" s="15"/>
      <c r="C271" s="15"/>
      <c r="D271" s="15"/>
      <c r="E271" s="15"/>
      <c r="F271" s="15"/>
      <c r="G271" s="15"/>
      <c r="H271" s="19"/>
      <c r="I271" s="19"/>
      <c r="J271" s="15"/>
      <c r="K271" s="15"/>
      <c r="L271" s="15"/>
      <c r="M271" s="15"/>
    </row>
    <row r="272" spans="2:13" ht="14">
      <c r="B272" s="15"/>
      <c r="C272" s="15"/>
      <c r="D272" s="15"/>
      <c r="E272" s="15"/>
      <c r="F272" s="15"/>
      <c r="G272" s="15"/>
      <c r="H272" s="19"/>
      <c r="I272" s="19"/>
      <c r="J272" s="15"/>
      <c r="K272" s="15"/>
      <c r="L272" s="15"/>
      <c r="M272" s="15"/>
    </row>
    <row r="273" spans="2:13" ht="14">
      <c r="B273" s="15"/>
      <c r="C273" s="15"/>
      <c r="D273" s="15"/>
      <c r="E273" s="15"/>
      <c r="F273" s="15"/>
      <c r="G273" s="15"/>
      <c r="H273" s="19"/>
      <c r="I273" s="19"/>
      <c r="J273" s="15"/>
      <c r="K273" s="15"/>
      <c r="L273" s="15"/>
      <c r="M273" s="15"/>
    </row>
    <row r="274" spans="2:13" ht="14">
      <c r="B274" s="15"/>
      <c r="C274" s="15"/>
      <c r="D274" s="15"/>
      <c r="E274" s="15"/>
      <c r="F274" s="15"/>
      <c r="G274" s="15"/>
      <c r="H274" s="19"/>
      <c r="I274" s="19"/>
      <c r="J274" s="15"/>
      <c r="K274" s="15"/>
      <c r="L274" s="15"/>
      <c r="M274" s="15"/>
    </row>
    <row r="275" spans="2:13" ht="14">
      <c r="B275" s="15"/>
      <c r="C275" s="15"/>
      <c r="D275" s="15"/>
      <c r="E275" s="15"/>
      <c r="F275" s="15"/>
      <c r="G275" s="15"/>
      <c r="H275" s="19"/>
      <c r="I275" s="19"/>
      <c r="J275" s="15"/>
      <c r="K275" s="15"/>
      <c r="L275" s="15"/>
      <c r="M275" s="15"/>
    </row>
    <row r="276" spans="2:13" ht="14">
      <c r="B276" s="15"/>
      <c r="C276" s="15"/>
      <c r="D276" s="15"/>
      <c r="E276" s="15"/>
      <c r="F276" s="15"/>
      <c r="G276" s="15"/>
      <c r="H276" s="19"/>
      <c r="I276" s="19"/>
      <c r="J276" s="15"/>
      <c r="K276" s="15"/>
      <c r="L276" s="15"/>
      <c r="M276" s="15"/>
    </row>
    <row r="277" spans="2:13" ht="14">
      <c r="B277" s="15"/>
      <c r="C277" s="15"/>
      <c r="D277" s="15"/>
      <c r="E277" s="15"/>
      <c r="F277" s="15"/>
      <c r="G277" s="15"/>
      <c r="H277" s="19"/>
      <c r="I277" s="19"/>
      <c r="J277" s="15"/>
      <c r="K277" s="15"/>
      <c r="L277" s="15"/>
      <c r="M277" s="15"/>
    </row>
    <row r="278" spans="2:13" ht="14">
      <c r="B278" s="15"/>
      <c r="C278" s="15"/>
      <c r="D278" s="15"/>
      <c r="E278" s="15"/>
      <c r="F278" s="15"/>
      <c r="G278" s="15"/>
      <c r="H278" s="19"/>
      <c r="I278" s="19"/>
      <c r="J278" s="15"/>
      <c r="K278" s="15"/>
      <c r="L278" s="15"/>
      <c r="M278" s="15"/>
    </row>
    <row r="279" spans="2:13" ht="14">
      <c r="B279" s="15"/>
      <c r="C279" s="15"/>
      <c r="D279" s="15"/>
      <c r="E279" s="15"/>
      <c r="F279" s="15"/>
      <c r="G279" s="15"/>
      <c r="H279" s="19"/>
      <c r="I279" s="19"/>
      <c r="J279" s="15"/>
      <c r="K279" s="15"/>
      <c r="L279" s="15"/>
      <c r="M279" s="15"/>
    </row>
    <row r="280" spans="2:13" ht="14">
      <c r="B280" s="15"/>
      <c r="C280" s="15"/>
      <c r="D280" s="15"/>
      <c r="E280" s="15"/>
      <c r="F280" s="15"/>
      <c r="G280" s="15"/>
      <c r="H280" s="19"/>
      <c r="I280" s="19"/>
      <c r="J280" s="15"/>
      <c r="K280" s="15"/>
      <c r="L280" s="15"/>
      <c r="M280" s="15"/>
    </row>
    <row r="281" spans="2:13" ht="14">
      <c r="B281" s="15"/>
      <c r="C281" s="15"/>
      <c r="D281" s="15"/>
      <c r="E281" s="15"/>
      <c r="F281" s="15"/>
      <c r="G281" s="15"/>
      <c r="H281" s="19"/>
      <c r="I281" s="19"/>
      <c r="J281" s="15"/>
      <c r="K281" s="15"/>
      <c r="L281" s="15"/>
      <c r="M281" s="15"/>
    </row>
    <row r="282" spans="2:13" ht="14">
      <c r="B282" s="15"/>
      <c r="C282" s="15"/>
      <c r="D282" s="15"/>
      <c r="E282" s="15"/>
      <c r="F282" s="15"/>
      <c r="G282" s="15"/>
      <c r="H282" s="19"/>
      <c r="I282" s="19"/>
      <c r="J282" s="15"/>
      <c r="K282" s="15"/>
      <c r="L282" s="15"/>
      <c r="M282" s="15"/>
    </row>
    <row r="283" spans="2:13" ht="14">
      <c r="B283" s="15"/>
      <c r="C283" s="15"/>
      <c r="D283" s="15"/>
      <c r="E283" s="15"/>
      <c r="F283" s="15"/>
      <c r="G283" s="15"/>
      <c r="H283" s="19"/>
      <c r="I283" s="19"/>
      <c r="J283" s="15"/>
      <c r="K283" s="15"/>
      <c r="L283" s="15"/>
      <c r="M283" s="15"/>
    </row>
    <row r="284" spans="2:13" ht="14">
      <c r="B284" s="15"/>
      <c r="C284" s="15"/>
      <c r="D284" s="15"/>
      <c r="E284" s="15"/>
      <c r="F284" s="15"/>
      <c r="G284" s="15"/>
      <c r="H284" s="19"/>
      <c r="I284" s="19"/>
      <c r="J284" s="15"/>
      <c r="K284" s="15"/>
      <c r="L284" s="15"/>
      <c r="M284" s="15"/>
    </row>
    <row r="285" spans="2:13" ht="14">
      <c r="B285" s="15"/>
      <c r="C285" s="15"/>
      <c r="D285" s="15"/>
      <c r="E285" s="15"/>
      <c r="F285" s="15"/>
      <c r="G285" s="15"/>
      <c r="H285" s="19"/>
      <c r="I285" s="19"/>
      <c r="J285" s="15"/>
      <c r="K285" s="15"/>
      <c r="L285" s="15"/>
      <c r="M285" s="15"/>
    </row>
    <row r="286" spans="2:13" ht="14">
      <c r="B286" s="15"/>
      <c r="C286" s="15"/>
      <c r="D286" s="15"/>
      <c r="E286" s="15"/>
      <c r="F286" s="15"/>
      <c r="G286" s="15"/>
      <c r="H286" s="19"/>
      <c r="I286" s="19"/>
      <c r="J286" s="15"/>
      <c r="K286" s="15"/>
      <c r="L286" s="15"/>
      <c r="M286" s="15"/>
    </row>
    <row r="287" spans="2:13" ht="14">
      <c r="B287" s="15"/>
      <c r="C287" s="15"/>
      <c r="D287" s="15"/>
      <c r="E287" s="15"/>
      <c r="F287" s="15"/>
      <c r="G287" s="15"/>
      <c r="H287" s="19"/>
      <c r="I287" s="19"/>
      <c r="J287" s="15"/>
      <c r="K287" s="15"/>
      <c r="L287" s="15"/>
      <c r="M287" s="15"/>
    </row>
    <row r="288" spans="2:13" ht="14">
      <c r="B288" s="15"/>
      <c r="C288" s="15"/>
      <c r="D288" s="15"/>
      <c r="E288" s="15"/>
      <c r="F288" s="15"/>
      <c r="G288" s="15"/>
      <c r="H288" s="19"/>
      <c r="I288" s="19"/>
      <c r="J288" s="15"/>
      <c r="K288" s="15"/>
      <c r="L288" s="15"/>
      <c r="M288" s="15"/>
    </row>
    <row r="289" spans="2:13" ht="14">
      <c r="B289" s="15"/>
      <c r="C289" s="15"/>
      <c r="D289" s="15"/>
      <c r="E289" s="15"/>
      <c r="F289" s="15"/>
      <c r="G289" s="15"/>
      <c r="H289" s="19"/>
      <c r="I289" s="19"/>
      <c r="J289" s="15"/>
      <c r="K289" s="15"/>
      <c r="L289" s="15"/>
      <c r="M289" s="15"/>
    </row>
    <row r="290" spans="2:13" ht="14">
      <c r="B290" s="15"/>
      <c r="C290" s="15"/>
      <c r="D290" s="15"/>
      <c r="E290" s="15"/>
      <c r="F290" s="15"/>
      <c r="G290" s="15"/>
      <c r="H290" s="19"/>
      <c r="I290" s="19"/>
      <c r="J290" s="15"/>
      <c r="K290" s="15"/>
      <c r="L290" s="15"/>
      <c r="M290" s="15"/>
    </row>
    <row r="291" spans="2:13" ht="14">
      <c r="B291" s="15"/>
      <c r="C291" s="15"/>
      <c r="D291" s="15"/>
      <c r="E291" s="15"/>
      <c r="F291" s="15"/>
      <c r="G291" s="15"/>
      <c r="H291" s="19"/>
      <c r="I291" s="19"/>
      <c r="J291" s="15"/>
      <c r="K291" s="15"/>
      <c r="L291" s="15"/>
      <c r="M291" s="15"/>
    </row>
    <row r="292" spans="2:13" ht="14">
      <c r="B292" s="15"/>
      <c r="C292" s="15"/>
      <c r="D292" s="15"/>
      <c r="E292" s="15"/>
      <c r="F292" s="15"/>
      <c r="G292" s="15"/>
      <c r="H292" s="19"/>
      <c r="I292" s="19"/>
      <c r="J292" s="15"/>
      <c r="K292" s="15"/>
      <c r="L292" s="15"/>
      <c r="M292" s="15"/>
    </row>
    <row r="293" spans="2:13" ht="14">
      <c r="B293" s="15"/>
      <c r="C293" s="15"/>
      <c r="D293" s="15"/>
      <c r="E293" s="15"/>
      <c r="F293" s="15"/>
      <c r="G293" s="15"/>
      <c r="H293" s="19"/>
      <c r="I293" s="19"/>
      <c r="J293" s="15"/>
      <c r="K293" s="15"/>
      <c r="L293" s="15"/>
      <c r="M293" s="15"/>
    </row>
    <row r="294" spans="2:13" ht="14">
      <c r="B294" s="15"/>
      <c r="C294" s="15"/>
      <c r="D294" s="15"/>
      <c r="E294" s="15"/>
      <c r="F294" s="15"/>
      <c r="G294" s="15"/>
      <c r="H294" s="19"/>
      <c r="I294" s="19"/>
      <c r="J294" s="15"/>
      <c r="K294" s="15"/>
      <c r="L294" s="15"/>
      <c r="M294" s="15"/>
    </row>
    <row r="295" spans="2:13" ht="14">
      <c r="B295" s="15"/>
      <c r="C295" s="15"/>
      <c r="D295" s="15"/>
      <c r="E295" s="15"/>
      <c r="F295" s="15"/>
      <c r="G295" s="15"/>
      <c r="H295" s="19"/>
      <c r="I295" s="19"/>
      <c r="J295" s="15"/>
      <c r="K295" s="15"/>
      <c r="L295" s="15"/>
      <c r="M295" s="15"/>
    </row>
    <row r="296" spans="2:13" ht="14">
      <c r="B296" s="15"/>
      <c r="C296" s="15"/>
      <c r="D296" s="15"/>
      <c r="E296" s="15"/>
      <c r="F296" s="15"/>
      <c r="G296" s="15"/>
      <c r="H296" s="19"/>
      <c r="I296" s="19"/>
      <c r="J296" s="15"/>
      <c r="K296" s="15"/>
      <c r="L296" s="15"/>
      <c r="M296" s="15"/>
    </row>
    <row r="297" spans="2:13" ht="14">
      <c r="B297" s="15"/>
      <c r="C297" s="15"/>
      <c r="D297" s="15"/>
      <c r="E297" s="15"/>
      <c r="F297" s="15"/>
      <c r="G297" s="15"/>
      <c r="H297" s="19"/>
      <c r="I297" s="19"/>
      <c r="J297" s="15"/>
      <c r="K297" s="15"/>
      <c r="L297" s="15"/>
      <c r="M297" s="15"/>
    </row>
    <row r="298" spans="2:13" ht="14">
      <c r="B298" s="15"/>
      <c r="C298" s="15"/>
      <c r="D298" s="15"/>
      <c r="E298" s="15"/>
      <c r="F298" s="15"/>
      <c r="G298" s="15"/>
      <c r="H298" s="19"/>
      <c r="I298" s="19"/>
      <c r="J298" s="15"/>
      <c r="K298" s="15"/>
      <c r="L298" s="15"/>
      <c r="M298" s="15"/>
    </row>
    <row r="299" spans="2:13" ht="14">
      <c r="B299" s="15"/>
      <c r="C299" s="15"/>
      <c r="D299" s="15"/>
      <c r="E299" s="15"/>
      <c r="F299" s="15"/>
      <c r="G299" s="15"/>
      <c r="H299" s="19"/>
      <c r="I299" s="19"/>
      <c r="J299" s="15"/>
      <c r="K299" s="15"/>
      <c r="L299" s="15"/>
      <c r="M299" s="15"/>
    </row>
    <row r="300" spans="2:13" ht="14">
      <c r="B300" s="15"/>
      <c r="C300" s="15"/>
      <c r="D300" s="15"/>
      <c r="E300" s="15"/>
      <c r="F300" s="15"/>
      <c r="G300" s="15"/>
      <c r="H300" s="19"/>
      <c r="I300" s="19"/>
      <c r="J300" s="15"/>
      <c r="K300" s="15"/>
      <c r="L300" s="15"/>
      <c r="M300" s="15"/>
    </row>
    <row r="301" spans="2:13" ht="14">
      <c r="B301" s="15"/>
      <c r="C301" s="15"/>
      <c r="D301" s="15"/>
      <c r="E301" s="15"/>
      <c r="F301" s="15"/>
      <c r="G301" s="15"/>
      <c r="H301" s="19"/>
      <c r="I301" s="19"/>
      <c r="J301" s="15"/>
      <c r="K301" s="15"/>
      <c r="L301" s="15"/>
      <c r="M301" s="15"/>
    </row>
    <row r="302" spans="2:13" ht="14">
      <c r="B302" s="15"/>
      <c r="C302" s="15"/>
      <c r="D302" s="15"/>
      <c r="E302" s="15"/>
      <c r="F302" s="15"/>
      <c r="G302" s="15"/>
      <c r="H302" s="19"/>
      <c r="I302" s="19"/>
      <c r="J302" s="15"/>
      <c r="K302" s="15"/>
      <c r="L302" s="15"/>
      <c r="M302" s="15"/>
    </row>
    <row r="303" spans="2:13" ht="14">
      <c r="B303" s="15"/>
      <c r="C303" s="15"/>
      <c r="D303" s="15"/>
      <c r="E303" s="15"/>
      <c r="F303" s="15"/>
      <c r="G303" s="15"/>
      <c r="H303" s="19"/>
      <c r="I303" s="19"/>
      <c r="J303" s="15"/>
      <c r="K303" s="15"/>
      <c r="L303" s="15"/>
      <c r="M303" s="15"/>
    </row>
    <row r="304" spans="2:13" ht="14">
      <c r="B304" s="15"/>
      <c r="C304" s="15"/>
      <c r="D304" s="15"/>
      <c r="E304" s="15"/>
      <c r="F304" s="15"/>
      <c r="G304" s="15"/>
      <c r="H304" s="19"/>
      <c r="I304" s="19"/>
      <c r="J304" s="15"/>
      <c r="K304" s="15"/>
      <c r="L304" s="15"/>
      <c r="M304" s="15"/>
    </row>
    <row r="305" spans="2:13" ht="14">
      <c r="B305" s="15"/>
      <c r="C305" s="15"/>
      <c r="D305" s="15"/>
      <c r="E305" s="15"/>
      <c r="F305" s="15"/>
      <c r="G305" s="15"/>
      <c r="H305" s="19"/>
      <c r="I305" s="19"/>
      <c r="J305" s="15"/>
      <c r="K305" s="15"/>
      <c r="L305" s="15"/>
      <c r="M305" s="15"/>
    </row>
    <row r="306" spans="2:13" ht="14">
      <c r="B306" s="15"/>
      <c r="C306" s="15"/>
      <c r="D306" s="15"/>
      <c r="E306" s="15"/>
      <c r="F306" s="15"/>
      <c r="G306" s="15"/>
      <c r="H306" s="19"/>
      <c r="I306" s="19"/>
      <c r="J306" s="15"/>
      <c r="K306" s="15"/>
      <c r="L306" s="15"/>
      <c r="M306" s="15"/>
    </row>
    <row r="307" spans="2:13" ht="14">
      <c r="B307" s="15"/>
      <c r="C307" s="15"/>
      <c r="D307" s="15"/>
      <c r="E307" s="15"/>
      <c r="F307" s="15"/>
      <c r="G307" s="15"/>
      <c r="H307" s="19"/>
      <c r="I307" s="19"/>
      <c r="J307" s="15"/>
      <c r="K307" s="15"/>
      <c r="L307" s="15"/>
      <c r="M307" s="15"/>
    </row>
    <row r="308" spans="2:13" ht="14">
      <c r="B308" s="15"/>
      <c r="C308" s="15"/>
      <c r="D308" s="15"/>
      <c r="E308" s="15"/>
      <c r="F308" s="15"/>
      <c r="G308" s="15"/>
      <c r="H308" s="19"/>
      <c r="I308" s="19"/>
      <c r="J308" s="15"/>
      <c r="K308" s="15"/>
      <c r="L308" s="15"/>
      <c r="M308" s="15"/>
    </row>
    <row r="309" spans="2:13" ht="14">
      <c r="B309" s="15"/>
      <c r="C309" s="15"/>
      <c r="D309" s="15"/>
      <c r="E309" s="15"/>
      <c r="F309" s="15"/>
      <c r="G309" s="15"/>
      <c r="H309" s="19"/>
      <c r="I309" s="19"/>
      <c r="J309" s="15"/>
      <c r="K309" s="15"/>
      <c r="L309" s="15"/>
      <c r="M309" s="15"/>
    </row>
    <row r="310" spans="2:13" ht="14">
      <c r="B310" s="15"/>
      <c r="C310" s="15"/>
      <c r="D310" s="15"/>
      <c r="E310" s="15"/>
      <c r="F310" s="15"/>
      <c r="G310" s="15"/>
      <c r="H310" s="19"/>
      <c r="I310" s="19"/>
      <c r="J310" s="15"/>
      <c r="K310" s="15"/>
      <c r="L310" s="15"/>
      <c r="M310" s="15"/>
    </row>
    <row r="311" spans="2:13" ht="14">
      <c r="B311" s="15"/>
      <c r="C311" s="15"/>
      <c r="D311" s="15"/>
      <c r="E311" s="15"/>
      <c r="F311" s="15"/>
      <c r="G311" s="15"/>
      <c r="H311" s="19"/>
      <c r="I311" s="19"/>
      <c r="J311" s="15"/>
      <c r="K311" s="15"/>
      <c r="L311" s="15"/>
      <c r="M311" s="15"/>
    </row>
    <row r="312" spans="2:13" ht="14">
      <c r="B312" s="15"/>
      <c r="C312" s="15"/>
      <c r="D312" s="15"/>
      <c r="E312" s="15"/>
      <c r="F312" s="15"/>
      <c r="G312" s="15"/>
      <c r="H312" s="19"/>
      <c r="I312" s="19"/>
      <c r="J312" s="15"/>
      <c r="K312" s="15"/>
      <c r="L312" s="15"/>
      <c r="M312" s="15"/>
    </row>
    <row r="313" spans="2:13" ht="14">
      <c r="B313" s="15"/>
      <c r="C313" s="15"/>
      <c r="D313" s="15"/>
      <c r="E313" s="15"/>
      <c r="F313" s="15"/>
      <c r="G313" s="15"/>
      <c r="H313" s="19"/>
      <c r="I313" s="19"/>
      <c r="J313" s="15"/>
      <c r="K313" s="15"/>
      <c r="L313" s="15"/>
      <c r="M313" s="15"/>
    </row>
    <row r="314" spans="2:13" ht="14">
      <c r="B314" s="15"/>
      <c r="C314" s="15"/>
      <c r="D314" s="15"/>
      <c r="E314" s="15"/>
      <c r="F314" s="15"/>
      <c r="G314" s="15"/>
      <c r="H314" s="19"/>
      <c r="I314" s="19"/>
      <c r="J314" s="15"/>
      <c r="K314" s="15"/>
      <c r="L314" s="15"/>
      <c r="M314" s="15"/>
    </row>
    <row r="315" spans="2:13" ht="14">
      <c r="B315" s="15"/>
      <c r="C315" s="15"/>
      <c r="D315" s="15"/>
      <c r="E315" s="15"/>
      <c r="F315" s="15"/>
      <c r="G315" s="15"/>
      <c r="H315" s="19"/>
      <c r="I315" s="19"/>
      <c r="J315" s="15"/>
      <c r="K315" s="15"/>
      <c r="L315" s="15"/>
      <c r="M315" s="15"/>
    </row>
    <row r="316" spans="2:13" ht="14">
      <c r="B316" s="15"/>
      <c r="C316" s="15"/>
      <c r="D316" s="15"/>
      <c r="E316" s="15"/>
      <c r="F316" s="15"/>
      <c r="G316" s="15"/>
      <c r="H316" s="19"/>
      <c r="I316" s="19"/>
      <c r="J316" s="15"/>
      <c r="K316" s="15"/>
      <c r="L316" s="15"/>
      <c r="M316" s="15"/>
    </row>
    <row r="317" spans="2:13" ht="14">
      <c r="B317" s="15"/>
      <c r="C317" s="15"/>
      <c r="D317" s="15"/>
      <c r="E317" s="15"/>
      <c r="F317" s="15"/>
      <c r="G317" s="15"/>
      <c r="H317" s="19"/>
      <c r="I317" s="19"/>
      <c r="J317" s="15"/>
      <c r="K317" s="15"/>
      <c r="L317" s="15"/>
      <c r="M317" s="15"/>
    </row>
    <row r="318" spans="2:13" ht="14">
      <c r="B318" s="15"/>
      <c r="C318" s="15"/>
      <c r="D318" s="15"/>
      <c r="E318" s="15"/>
      <c r="F318" s="15"/>
      <c r="G318" s="15"/>
      <c r="H318" s="19"/>
      <c r="I318" s="19"/>
      <c r="J318" s="15"/>
      <c r="K318" s="15"/>
      <c r="L318" s="15"/>
      <c r="M318" s="15"/>
    </row>
    <row r="319" spans="2:13" ht="14">
      <c r="B319" s="15"/>
      <c r="C319" s="15"/>
      <c r="D319" s="15"/>
      <c r="E319" s="15"/>
      <c r="F319" s="15"/>
      <c r="G319" s="15"/>
      <c r="H319" s="19"/>
      <c r="I319" s="19"/>
      <c r="J319" s="15"/>
      <c r="K319" s="15"/>
      <c r="L319" s="15"/>
      <c r="M319" s="15"/>
    </row>
    <row r="320" spans="2:13" ht="14">
      <c r="B320" s="15"/>
      <c r="C320" s="15"/>
      <c r="D320" s="15"/>
      <c r="E320" s="15"/>
      <c r="F320" s="15"/>
      <c r="G320" s="15"/>
      <c r="H320" s="19"/>
      <c r="I320" s="19"/>
      <c r="J320" s="15"/>
      <c r="K320" s="15"/>
      <c r="L320" s="15"/>
      <c r="M320" s="15"/>
    </row>
    <row r="321" spans="2:13" ht="14">
      <c r="B321" s="15"/>
      <c r="C321" s="15"/>
      <c r="D321" s="15"/>
      <c r="E321" s="15"/>
      <c r="F321" s="15"/>
      <c r="G321" s="15"/>
      <c r="H321" s="19"/>
      <c r="I321" s="19"/>
      <c r="J321" s="15"/>
      <c r="K321" s="15"/>
      <c r="L321" s="15"/>
      <c r="M321" s="15"/>
    </row>
    <row r="322" spans="2:13" ht="14">
      <c r="B322" s="15"/>
      <c r="C322" s="15"/>
      <c r="D322" s="15"/>
      <c r="E322" s="15"/>
      <c r="F322" s="15"/>
      <c r="G322" s="15"/>
      <c r="H322" s="19"/>
      <c r="I322" s="19"/>
      <c r="J322" s="15"/>
      <c r="K322" s="15"/>
      <c r="L322" s="15"/>
      <c r="M322" s="15"/>
    </row>
    <row r="323" spans="2:13" ht="14">
      <c r="B323" s="15"/>
      <c r="C323" s="15"/>
      <c r="D323" s="15"/>
      <c r="E323" s="15"/>
      <c r="F323" s="15"/>
      <c r="G323" s="15"/>
      <c r="H323" s="19"/>
      <c r="I323" s="19"/>
      <c r="J323" s="15"/>
      <c r="K323" s="15"/>
      <c r="L323" s="15"/>
      <c r="M323" s="15"/>
    </row>
    <row r="324" spans="2:13" ht="14">
      <c r="B324" s="15"/>
      <c r="C324" s="15"/>
      <c r="D324" s="15"/>
      <c r="E324" s="15"/>
      <c r="F324" s="15"/>
      <c r="G324" s="15"/>
      <c r="H324" s="19"/>
      <c r="I324" s="19"/>
      <c r="J324" s="15"/>
      <c r="K324" s="15"/>
      <c r="L324" s="15"/>
      <c r="M324" s="15"/>
    </row>
    <row r="325" spans="2:13" ht="14">
      <c r="B325" s="15"/>
      <c r="C325" s="15"/>
      <c r="D325" s="15"/>
      <c r="E325" s="15"/>
      <c r="F325" s="15"/>
      <c r="G325" s="15"/>
      <c r="H325" s="19"/>
      <c r="I325" s="19"/>
      <c r="J325" s="15"/>
      <c r="K325" s="15"/>
      <c r="L325" s="15"/>
      <c r="M325" s="15"/>
    </row>
    <row r="326" spans="2:13" ht="14">
      <c r="B326" s="15"/>
      <c r="C326" s="15"/>
      <c r="D326" s="15"/>
      <c r="E326" s="15"/>
      <c r="F326" s="15"/>
      <c r="G326" s="15"/>
      <c r="H326" s="19"/>
      <c r="I326" s="19"/>
      <c r="J326" s="15"/>
      <c r="K326" s="15"/>
      <c r="L326" s="15"/>
      <c r="M326" s="15"/>
    </row>
    <row r="327" spans="2:13" ht="14">
      <c r="B327" s="15"/>
      <c r="C327" s="15"/>
      <c r="D327" s="15"/>
      <c r="E327" s="15"/>
      <c r="F327" s="15"/>
      <c r="G327" s="15"/>
      <c r="H327" s="19"/>
      <c r="I327" s="19"/>
      <c r="J327" s="15"/>
      <c r="K327" s="15"/>
      <c r="L327" s="15"/>
      <c r="M327" s="15"/>
    </row>
    <row r="328" spans="2:13" ht="14">
      <c r="B328" s="15"/>
      <c r="C328" s="15"/>
      <c r="D328" s="15"/>
      <c r="E328" s="15"/>
      <c r="F328" s="15"/>
      <c r="G328" s="15"/>
      <c r="H328" s="19"/>
      <c r="I328" s="19"/>
      <c r="J328" s="15"/>
      <c r="K328" s="15"/>
      <c r="L328" s="15"/>
      <c r="M328" s="15"/>
    </row>
    <row r="329" spans="2:13" ht="14">
      <c r="B329" s="15"/>
      <c r="C329" s="15"/>
      <c r="D329" s="15"/>
      <c r="E329" s="15"/>
      <c r="F329" s="15"/>
      <c r="G329" s="15"/>
      <c r="H329" s="19"/>
      <c r="I329" s="19"/>
      <c r="J329" s="15"/>
      <c r="K329" s="15"/>
      <c r="L329" s="15"/>
      <c r="M329" s="15"/>
    </row>
    <row r="330" spans="2:13" ht="14">
      <c r="B330" s="15"/>
      <c r="C330" s="15"/>
      <c r="D330" s="15"/>
      <c r="E330" s="15"/>
      <c r="F330" s="15"/>
      <c r="G330" s="15"/>
      <c r="H330" s="19"/>
      <c r="I330" s="19"/>
      <c r="J330" s="15"/>
      <c r="K330" s="15"/>
      <c r="L330" s="15"/>
      <c r="M330" s="15"/>
    </row>
    <row r="331" spans="2:13" ht="14">
      <c r="B331" s="15"/>
      <c r="C331" s="15"/>
      <c r="D331" s="15"/>
      <c r="E331" s="15"/>
      <c r="F331" s="15"/>
      <c r="G331" s="15"/>
      <c r="H331" s="19"/>
      <c r="I331" s="19"/>
      <c r="J331" s="15"/>
      <c r="K331" s="15"/>
      <c r="L331" s="15"/>
      <c r="M331" s="15"/>
    </row>
    <row r="332" spans="2:13" ht="14">
      <c r="B332" s="15"/>
      <c r="C332" s="15"/>
      <c r="D332" s="15"/>
      <c r="E332" s="15"/>
      <c r="F332" s="15"/>
      <c r="G332" s="15"/>
      <c r="H332" s="19"/>
      <c r="I332" s="19"/>
      <c r="J332" s="15"/>
      <c r="K332" s="15"/>
      <c r="L332" s="15"/>
      <c r="M332" s="15"/>
    </row>
    <row r="333" spans="2:13" ht="14">
      <c r="B333" s="15"/>
      <c r="C333" s="15"/>
      <c r="D333" s="15"/>
      <c r="E333" s="15"/>
      <c r="F333" s="15"/>
      <c r="G333" s="15"/>
      <c r="H333" s="19"/>
      <c r="I333" s="19"/>
      <c r="J333" s="15"/>
      <c r="K333" s="15"/>
      <c r="L333" s="15"/>
      <c r="M333" s="15"/>
    </row>
    <row r="334" spans="2:13" ht="14">
      <c r="B334" s="15"/>
      <c r="C334" s="15"/>
      <c r="D334" s="15"/>
      <c r="E334" s="15"/>
      <c r="F334" s="15"/>
      <c r="G334" s="15"/>
      <c r="H334" s="19"/>
      <c r="I334" s="19"/>
      <c r="J334" s="15"/>
      <c r="K334" s="15"/>
      <c r="L334" s="15"/>
      <c r="M334" s="15"/>
    </row>
    <row r="335" spans="2:13" ht="14">
      <c r="B335" s="15"/>
      <c r="C335" s="15"/>
      <c r="D335" s="15"/>
      <c r="E335" s="15"/>
      <c r="F335" s="15"/>
      <c r="G335" s="15"/>
      <c r="H335" s="19"/>
      <c r="I335" s="19"/>
      <c r="J335" s="15"/>
      <c r="K335" s="15"/>
      <c r="L335" s="15"/>
      <c r="M335" s="15"/>
    </row>
    <row r="336" spans="2:13" ht="14">
      <c r="B336" s="15"/>
      <c r="C336" s="15"/>
      <c r="D336" s="15"/>
      <c r="E336" s="15"/>
      <c r="F336" s="15"/>
      <c r="G336" s="15"/>
      <c r="H336" s="19"/>
      <c r="I336" s="19"/>
      <c r="J336" s="15"/>
      <c r="K336" s="15"/>
      <c r="L336" s="15"/>
      <c r="M336" s="15"/>
    </row>
    <row r="337" spans="2:13" ht="14">
      <c r="B337" s="15"/>
      <c r="C337" s="15"/>
      <c r="D337" s="15"/>
      <c r="E337" s="15"/>
      <c r="F337" s="15"/>
      <c r="G337" s="15"/>
      <c r="H337" s="19"/>
      <c r="I337" s="19"/>
      <c r="J337" s="15"/>
      <c r="K337" s="15"/>
      <c r="L337" s="15"/>
      <c r="M337" s="15"/>
    </row>
    <row r="338" spans="2:13" ht="14">
      <c r="B338" s="15"/>
      <c r="C338" s="15"/>
      <c r="D338" s="15"/>
      <c r="E338" s="15"/>
      <c r="F338" s="15"/>
      <c r="G338" s="15"/>
      <c r="H338" s="19"/>
      <c r="I338" s="19"/>
      <c r="J338" s="15"/>
      <c r="K338" s="15"/>
      <c r="L338" s="15"/>
      <c r="M338" s="15"/>
    </row>
    <row r="339" spans="2:13" ht="14">
      <c r="B339" s="15"/>
      <c r="C339" s="15"/>
      <c r="D339" s="15"/>
      <c r="E339" s="15"/>
      <c r="F339" s="15"/>
      <c r="G339" s="15"/>
      <c r="H339" s="19"/>
      <c r="I339" s="19"/>
      <c r="J339" s="15"/>
      <c r="K339" s="15"/>
      <c r="L339" s="15"/>
      <c r="M339" s="15"/>
    </row>
    <row r="340" spans="2:13" ht="14">
      <c r="B340" s="15"/>
      <c r="C340" s="15"/>
      <c r="D340" s="15"/>
      <c r="E340" s="15"/>
      <c r="F340" s="15"/>
      <c r="G340" s="15"/>
      <c r="H340" s="19"/>
      <c r="I340" s="19"/>
      <c r="J340" s="15"/>
      <c r="K340" s="15"/>
      <c r="L340" s="15"/>
      <c r="M340" s="15"/>
    </row>
    <row r="341" spans="2:13" ht="14">
      <c r="B341" s="15"/>
      <c r="C341" s="15"/>
      <c r="D341" s="15"/>
      <c r="E341" s="15"/>
      <c r="F341" s="15"/>
      <c r="G341" s="15"/>
      <c r="H341" s="19"/>
      <c r="I341" s="19"/>
      <c r="J341" s="15"/>
      <c r="K341" s="15"/>
      <c r="L341" s="15"/>
      <c r="M341" s="15"/>
    </row>
    <row r="342" spans="2:13" ht="14">
      <c r="B342" s="15"/>
      <c r="C342" s="15"/>
      <c r="D342" s="15"/>
      <c r="E342" s="15"/>
      <c r="F342" s="15"/>
      <c r="G342" s="15"/>
      <c r="H342" s="19"/>
      <c r="I342" s="19"/>
      <c r="J342" s="15"/>
      <c r="K342" s="15"/>
      <c r="L342" s="15"/>
      <c r="M342" s="15"/>
    </row>
    <row r="343" spans="2:13" ht="14">
      <c r="B343" s="15"/>
      <c r="C343" s="15"/>
      <c r="D343" s="15"/>
      <c r="E343" s="15"/>
      <c r="F343" s="15"/>
      <c r="G343" s="15"/>
      <c r="H343" s="19"/>
      <c r="I343" s="19"/>
      <c r="J343" s="15"/>
      <c r="K343" s="15"/>
      <c r="L343" s="15"/>
      <c r="M343" s="15"/>
    </row>
    <row r="344" spans="2:13" ht="14">
      <c r="B344" s="15"/>
      <c r="C344" s="15"/>
      <c r="D344" s="15"/>
      <c r="E344" s="15"/>
      <c r="F344" s="15"/>
      <c r="G344" s="15"/>
      <c r="H344" s="19"/>
      <c r="I344" s="19"/>
      <c r="J344" s="15"/>
      <c r="K344" s="15"/>
      <c r="L344" s="15"/>
      <c r="M344" s="15"/>
    </row>
    <row r="345" spans="2:13" ht="14">
      <c r="B345" s="15"/>
      <c r="C345" s="15"/>
      <c r="D345" s="15"/>
      <c r="E345" s="15"/>
      <c r="F345" s="15"/>
      <c r="G345" s="15"/>
      <c r="H345" s="19"/>
      <c r="I345" s="19"/>
      <c r="J345" s="15"/>
      <c r="K345" s="15"/>
      <c r="L345" s="15"/>
      <c r="M345" s="15"/>
    </row>
    <row r="346" spans="2:13" ht="14">
      <c r="B346" s="15"/>
      <c r="C346" s="15"/>
      <c r="D346" s="15"/>
      <c r="E346" s="15"/>
      <c r="F346" s="15"/>
      <c r="G346" s="15"/>
      <c r="H346" s="19"/>
      <c r="I346" s="19"/>
      <c r="J346" s="15"/>
      <c r="K346" s="15"/>
      <c r="L346" s="15"/>
      <c r="M346" s="15"/>
    </row>
    <row r="347" spans="2:13" ht="14">
      <c r="B347" s="15"/>
      <c r="C347" s="15"/>
      <c r="D347" s="15"/>
      <c r="E347" s="15"/>
      <c r="F347" s="15"/>
      <c r="G347" s="15"/>
      <c r="H347" s="19"/>
      <c r="I347" s="19"/>
      <c r="J347" s="15"/>
      <c r="K347" s="15"/>
      <c r="L347" s="15"/>
      <c r="M347" s="15"/>
    </row>
    <row r="348" spans="2:13" ht="14">
      <c r="B348" s="15"/>
      <c r="C348" s="15"/>
      <c r="D348" s="15"/>
      <c r="E348" s="15"/>
      <c r="F348" s="15"/>
      <c r="G348" s="15"/>
      <c r="H348" s="19"/>
      <c r="I348" s="19"/>
      <c r="J348" s="15"/>
      <c r="K348" s="15"/>
      <c r="L348" s="15"/>
      <c r="M348" s="15"/>
    </row>
    <row r="349" spans="2:13" ht="14">
      <c r="B349" s="15"/>
      <c r="C349" s="15"/>
      <c r="D349" s="15"/>
      <c r="E349" s="15"/>
      <c r="F349" s="15"/>
      <c r="G349" s="15"/>
      <c r="H349" s="19"/>
      <c r="I349" s="19"/>
      <c r="J349" s="15"/>
      <c r="K349" s="15"/>
      <c r="L349" s="15"/>
      <c r="M349" s="15"/>
    </row>
    <row r="350" spans="2:13" ht="14">
      <c r="B350" s="15"/>
      <c r="C350" s="15"/>
      <c r="D350" s="15"/>
      <c r="E350" s="15"/>
      <c r="F350" s="15"/>
      <c r="G350" s="15"/>
      <c r="H350" s="19"/>
      <c r="I350" s="19"/>
      <c r="J350" s="15"/>
      <c r="K350" s="15"/>
      <c r="L350" s="15"/>
      <c r="M350" s="15"/>
    </row>
    <row r="351" spans="2:13" ht="14">
      <c r="B351" s="15"/>
      <c r="C351" s="15"/>
      <c r="D351" s="15"/>
      <c r="E351" s="15"/>
      <c r="F351" s="15"/>
      <c r="G351" s="15"/>
      <c r="H351" s="19"/>
      <c r="I351" s="19"/>
      <c r="J351" s="15"/>
      <c r="K351" s="15"/>
      <c r="L351" s="15"/>
      <c r="M351" s="15"/>
    </row>
    <row r="352" spans="2:13" ht="14">
      <c r="B352" s="15"/>
      <c r="C352" s="15"/>
      <c r="D352" s="15"/>
      <c r="E352" s="15"/>
      <c r="F352" s="15"/>
      <c r="G352" s="15"/>
      <c r="H352" s="19"/>
      <c r="I352" s="19"/>
      <c r="J352" s="15"/>
      <c r="K352" s="15"/>
      <c r="L352" s="15"/>
      <c r="M352" s="15"/>
    </row>
    <row r="353" spans="2:13" ht="14">
      <c r="B353" s="15"/>
      <c r="C353" s="15"/>
      <c r="D353" s="15"/>
      <c r="E353" s="15"/>
      <c r="F353" s="15"/>
      <c r="G353" s="15"/>
      <c r="H353" s="19"/>
      <c r="I353" s="19"/>
      <c r="J353" s="15"/>
      <c r="K353" s="15"/>
      <c r="L353" s="15"/>
      <c r="M353" s="15"/>
    </row>
    <row r="354" spans="2:13" ht="14">
      <c r="B354" s="15"/>
      <c r="C354" s="15"/>
      <c r="D354" s="15"/>
      <c r="E354" s="15"/>
      <c r="F354" s="15"/>
      <c r="G354" s="15"/>
      <c r="H354" s="19"/>
      <c r="I354" s="19"/>
      <c r="J354" s="15"/>
      <c r="K354" s="15"/>
      <c r="L354" s="15"/>
      <c r="M354" s="15"/>
    </row>
    <row r="355" spans="2:13" ht="14">
      <c r="B355" s="15"/>
      <c r="C355" s="15"/>
      <c r="D355" s="15"/>
      <c r="E355" s="15"/>
      <c r="F355" s="15"/>
      <c r="G355" s="15"/>
      <c r="H355" s="19"/>
      <c r="I355" s="19"/>
      <c r="J355" s="15"/>
      <c r="K355" s="15"/>
      <c r="L355" s="15"/>
      <c r="M355" s="15"/>
    </row>
    <row r="356" spans="2:13" ht="14">
      <c r="B356" s="15"/>
      <c r="C356" s="15"/>
      <c r="D356" s="15"/>
      <c r="E356" s="15"/>
      <c r="F356" s="15"/>
      <c r="G356" s="15"/>
      <c r="H356" s="19"/>
      <c r="I356" s="19"/>
      <c r="J356" s="15"/>
      <c r="K356" s="15"/>
      <c r="L356" s="15"/>
      <c r="M356" s="15"/>
    </row>
    <row r="357" spans="2:13" ht="14">
      <c r="B357" s="15"/>
      <c r="C357" s="15"/>
      <c r="D357" s="15"/>
      <c r="E357" s="15"/>
      <c r="F357" s="15"/>
      <c r="G357" s="15"/>
      <c r="H357" s="19"/>
      <c r="I357" s="19"/>
      <c r="J357" s="15"/>
      <c r="K357" s="15"/>
      <c r="L357" s="15"/>
      <c r="M357" s="15"/>
    </row>
    <row r="358" spans="2:13" ht="14">
      <c r="B358" s="15"/>
      <c r="C358" s="15"/>
      <c r="D358" s="15"/>
      <c r="E358" s="15"/>
      <c r="F358" s="15"/>
      <c r="G358" s="15"/>
      <c r="H358" s="19"/>
      <c r="I358" s="19"/>
      <c r="J358" s="15"/>
      <c r="K358" s="15"/>
      <c r="L358" s="15"/>
      <c r="M358" s="15"/>
    </row>
    <row r="359" spans="2:13" ht="14">
      <c r="B359" s="15"/>
      <c r="C359" s="15"/>
      <c r="D359" s="15"/>
      <c r="E359" s="15"/>
      <c r="F359" s="15"/>
      <c r="G359" s="15"/>
      <c r="H359" s="19"/>
      <c r="I359" s="19"/>
      <c r="J359" s="15"/>
      <c r="K359" s="15"/>
      <c r="L359" s="15"/>
      <c r="M359" s="15"/>
    </row>
    <row r="360" spans="2:13" ht="14">
      <c r="B360" s="15"/>
      <c r="C360" s="15"/>
      <c r="D360" s="15"/>
      <c r="E360" s="15"/>
      <c r="F360" s="15"/>
      <c r="G360" s="15"/>
      <c r="H360" s="19"/>
      <c r="I360" s="19"/>
      <c r="J360" s="15"/>
      <c r="K360" s="15"/>
      <c r="L360" s="15"/>
      <c r="M360" s="15"/>
    </row>
    <row r="361" spans="2:13" ht="14">
      <c r="B361" s="15"/>
      <c r="C361" s="15"/>
      <c r="D361" s="15"/>
      <c r="E361" s="15"/>
      <c r="F361" s="15"/>
      <c r="G361" s="15"/>
      <c r="H361" s="19"/>
      <c r="I361" s="19"/>
      <c r="J361" s="15"/>
      <c r="K361" s="15"/>
      <c r="L361" s="15"/>
      <c r="M361" s="15"/>
    </row>
    <row r="362" spans="2:13" ht="14">
      <c r="B362" s="15"/>
      <c r="C362" s="15"/>
      <c r="D362" s="15"/>
      <c r="E362" s="15"/>
      <c r="F362" s="15"/>
      <c r="G362" s="15"/>
      <c r="H362" s="19"/>
      <c r="I362" s="19"/>
      <c r="J362" s="15"/>
      <c r="K362" s="15"/>
      <c r="L362" s="15"/>
      <c r="M362" s="15"/>
    </row>
    <row r="363" spans="2:13" ht="14">
      <c r="B363" s="15"/>
      <c r="C363" s="15"/>
      <c r="D363" s="15"/>
      <c r="E363" s="15"/>
      <c r="F363" s="15"/>
      <c r="G363" s="15"/>
      <c r="H363" s="19"/>
      <c r="I363" s="19"/>
      <c r="J363" s="15"/>
      <c r="K363" s="15"/>
      <c r="L363" s="15"/>
      <c r="M363" s="15"/>
    </row>
    <row r="364" spans="2:13" ht="14">
      <c r="B364" s="15"/>
      <c r="C364" s="15"/>
      <c r="D364" s="15"/>
      <c r="E364" s="15"/>
      <c r="F364" s="15"/>
      <c r="G364" s="15"/>
      <c r="H364" s="19"/>
      <c r="I364" s="19"/>
      <c r="J364" s="15"/>
      <c r="K364" s="15"/>
      <c r="L364" s="15"/>
      <c r="M364" s="15"/>
    </row>
    <row r="365" spans="2:13" ht="14">
      <c r="B365" s="15"/>
      <c r="C365" s="15"/>
      <c r="D365" s="15"/>
      <c r="E365" s="15"/>
      <c r="F365" s="15"/>
      <c r="G365" s="15"/>
      <c r="H365" s="19"/>
      <c r="I365" s="19"/>
      <c r="J365" s="15"/>
      <c r="K365" s="15"/>
      <c r="L365" s="15"/>
      <c r="M365" s="15"/>
    </row>
    <row r="366" spans="2:13" ht="14">
      <c r="B366" s="15"/>
      <c r="C366" s="15"/>
      <c r="D366" s="15"/>
      <c r="E366" s="15"/>
      <c r="F366" s="15"/>
      <c r="G366" s="15"/>
      <c r="H366" s="19"/>
      <c r="I366" s="19"/>
      <c r="J366" s="15"/>
      <c r="K366" s="15"/>
      <c r="L366" s="15"/>
      <c r="M366" s="15"/>
    </row>
    <row r="367" spans="2:13" ht="14">
      <c r="B367" s="15"/>
      <c r="C367" s="15"/>
      <c r="D367" s="15"/>
      <c r="E367" s="15"/>
      <c r="F367" s="15"/>
      <c r="G367" s="15"/>
      <c r="H367" s="19"/>
      <c r="I367" s="19"/>
      <c r="J367" s="15"/>
      <c r="K367" s="15"/>
      <c r="L367" s="15"/>
      <c r="M367" s="15"/>
    </row>
    <row r="368" spans="2:13" ht="14">
      <c r="B368" s="15"/>
      <c r="C368" s="15"/>
      <c r="D368" s="15"/>
      <c r="E368" s="15"/>
      <c r="F368" s="15"/>
      <c r="G368" s="15"/>
      <c r="H368" s="19"/>
      <c r="I368" s="19"/>
      <c r="J368" s="15"/>
      <c r="K368" s="15"/>
      <c r="L368" s="15"/>
      <c r="M368" s="15"/>
    </row>
    <row r="369" spans="2:13" ht="14">
      <c r="B369" s="15"/>
      <c r="C369" s="15"/>
      <c r="D369" s="15"/>
      <c r="E369" s="15"/>
      <c r="F369" s="15"/>
      <c r="G369" s="15"/>
      <c r="H369" s="19"/>
      <c r="I369" s="19"/>
      <c r="J369" s="15"/>
      <c r="K369" s="15"/>
      <c r="L369" s="15"/>
      <c r="M369" s="15"/>
    </row>
    <row r="370" spans="2:13" ht="14">
      <c r="B370" s="15"/>
      <c r="C370" s="15"/>
      <c r="D370" s="15"/>
      <c r="E370" s="15"/>
      <c r="F370" s="15"/>
      <c r="G370" s="15"/>
      <c r="H370" s="19"/>
      <c r="I370" s="19"/>
      <c r="J370" s="15"/>
      <c r="K370" s="15"/>
      <c r="L370" s="15"/>
      <c r="M370" s="15"/>
    </row>
    <row r="371" spans="2:13" ht="14">
      <c r="B371" s="15"/>
      <c r="C371" s="15"/>
      <c r="D371" s="15"/>
      <c r="E371" s="15"/>
      <c r="F371" s="15"/>
      <c r="G371" s="15"/>
      <c r="H371" s="19"/>
      <c r="I371" s="19"/>
      <c r="J371" s="15"/>
      <c r="K371" s="15"/>
      <c r="L371" s="15"/>
      <c r="M371" s="15"/>
    </row>
    <row r="372" spans="2:13" ht="14">
      <c r="B372" s="15"/>
      <c r="C372" s="15"/>
      <c r="D372" s="15"/>
      <c r="E372" s="15"/>
      <c r="F372" s="15"/>
      <c r="G372" s="15"/>
      <c r="H372" s="19"/>
      <c r="I372" s="19"/>
      <c r="J372" s="15"/>
      <c r="K372" s="15"/>
      <c r="L372" s="15"/>
      <c r="M372" s="15"/>
    </row>
    <row r="373" spans="2:13" ht="14">
      <c r="B373" s="15"/>
      <c r="C373" s="15"/>
      <c r="D373" s="15"/>
      <c r="E373" s="15"/>
      <c r="F373" s="15"/>
      <c r="G373" s="15"/>
      <c r="H373" s="19"/>
      <c r="I373" s="19"/>
      <c r="J373" s="15"/>
      <c r="K373" s="15"/>
      <c r="L373" s="15"/>
      <c r="M373" s="15"/>
    </row>
    <row r="374" spans="2:13" ht="14">
      <c r="B374" s="15"/>
      <c r="C374" s="15"/>
      <c r="D374" s="15"/>
      <c r="E374" s="15"/>
      <c r="F374" s="15"/>
      <c r="G374" s="15"/>
      <c r="H374" s="19"/>
      <c r="I374" s="19"/>
      <c r="J374" s="15"/>
      <c r="K374" s="15"/>
      <c r="L374" s="15"/>
      <c r="M374" s="15"/>
    </row>
    <row r="375" spans="2:13" ht="14">
      <c r="B375" s="15"/>
      <c r="C375" s="15"/>
      <c r="D375" s="15"/>
      <c r="E375" s="15"/>
      <c r="F375" s="15"/>
      <c r="G375" s="15"/>
      <c r="H375" s="19"/>
      <c r="I375" s="19"/>
      <c r="J375" s="15"/>
      <c r="K375" s="15"/>
      <c r="L375" s="15"/>
      <c r="M375" s="15"/>
    </row>
    <row r="376" spans="2:13" ht="14">
      <c r="B376" s="15"/>
      <c r="C376" s="15"/>
      <c r="D376" s="15"/>
      <c r="E376" s="15"/>
      <c r="F376" s="15"/>
      <c r="G376" s="15"/>
      <c r="H376" s="19"/>
      <c r="I376" s="19"/>
      <c r="J376" s="15"/>
      <c r="K376" s="15"/>
      <c r="L376" s="15"/>
      <c r="M376" s="15"/>
    </row>
    <row r="377" spans="2:13" ht="14">
      <c r="B377" s="15"/>
      <c r="C377" s="15"/>
      <c r="D377" s="15"/>
      <c r="E377" s="15"/>
      <c r="F377" s="15"/>
      <c r="G377" s="15"/>
      <c r="H377" s="19"/>
      <c r="I377" s="19"/>
      <c r="J377" s="15"/>
      <c r="K377" s="15"/>
      <c r="L377" s="15"/>
      <c r="M377" s="15"/>
    </row>
    <row r="378" spans="2:13" ht="14">
      <c r="B378" s="15"/>
      <c r="C378" s="15"/>
      <c r="D378" s="15"/>
      <c r="E378" s="15"/>
      <c r="F378" s="15"/>
      <c r="G378" s="15"/>
      <c r="H378" s="19"/>
      <c r="I378" s="19"/>
      <c r="J378" s="15"/>
      <c r="K378" s="15"/>
      <c r="L378" s="15"/>
      <c r="M378" s="15"/>
    </row>
    <row r="379" spans="2:13" ht="14">
      <c r="B379" s="15"/>
      <c r="C379" s="15"/>
      <c r="D379" s="15"/>
      <c r="E379" s="15"/>
      <c r="F379" s="15"/>
      <c r="G379" s="15"/>
      <c r="H379" s="19"/>
      <c r="I379" s="19"/>
      <c r="J379" s="15"/>
      <c r="K379" s="15"/>
      <c r="L379" s="15"/>
      <c r="M379" s="15"/>
    </row>
    <row r="380" spans="2:13" ht="14">
      <c r="B380" s="15"/>
      <c r="C380" s="15"/>
      <c r="D380" s="15"/>
      <c r="E380" s="15"/>
      <c r="F380" s="15"/>
      <c r="G380" s="15"/>
      <c r="H380" s="19"/>
      <c r="I380" s="19"/>
      <c r="J380" s="15"/>
      <c r="K380" s="15"/>
      <c r="L380" s="15"/>
      <c r="M380" s="15"/>
    </row>
    <row r="381" spans="2:13" ht="14">
      <c r="B381" s="15"/>
      <c r="C381" s="15"/>
      <c r="D381" s="15"/>
      <c r="E381" s="15"/>
      <c r="F381" s="15"/>
      <c r="G381" s="15"/>
      <c r="H381" s="19"/>
      <c r="I381" s="19"/>
      <c r="J381" s="15"/>
      <c r="K381" s="15"/>
      <c r="L381" s="15"/>
      <c r="M381" s="15"/>
    </row>
    <row r="382" spans="2:13" ht="14">
      <c r="B382" s="15"/>
      <c r="C382" s="15"/>
      <c r="D382" s="15"/>
      <c r="E382" s="15"/>
      <c r="F382" s="15"/>
      <c r="G382" s="15"/>
      <c r="H382" s="19"/>
      <c r="I382" s="19"/>
      <c r="J382" s="15"/>
      <c r="K382" s="15"/>
      <c r="L382" s="15"/>
      <c r="M382" s="15"/>
    </row>
    <row r="383" spans="2:13" ht="14">
      <c r="B383" s="15"/>
      <c r="C383" s="15"/>
      <c r="D383" s="15"/>
      <c r="E383" s="15"/>
      <c r="F383" s="15"/>
      <c r="G383" s="15"/>
      <c r="H383" s="19"/>
      <c r="I383" s="19"/>
      <c r="J383" s="15"/>
      <c r="K383" s="15"/>
      <c r="L383" s="15"/>
      <c r="M383" s="15"/>
    </row>
    <row r="384" spans="2:13" ht="14">
      <c r="B384" s="15"/>
      <c r="C384" s="15"/>
      <c r="D384" s="15"/>
      <c r="E384" s="15"/>
      <c r="F384" s="15"/>
      <c r="G384" s="15"/>
      <c r="H384" s="19"/>
      <c r="I384" s="19"/>
      <c r="J384" s="15"/>
      <c r="K384" s="15"/>
      <c r="L384" s="15"/>
      <c r="M384" s="15"/>
    </row>
    <row r="385" spans="2:13" ht="14">
      <c r="B385" s="15"/>
      <c r="C385" s="15"/>
      <c r="D385" s="15"/>
      <c r="E385" s="15"/>
      <c r="F385" s="15"/>
      <c r="G385" s="15"/>
      <c r="H385" s="19"/>
      <c r="I385" s="19"/>
      <c r="J385" s="15"/>
      <c r="K385" s="15"/>
      <c r="L385" s="15"/>
      <c r="M385" s="15"/>
    </row>
    <row r="386" spans="2:13" ht="14">
      <c r="B386" s="15"/>
      <c r="C386" s="15"/>
      <c r="D386" s="15"/>
      <c r="E386" s="15"/>
      <c r="F386" s="15"/>
      <c r="G386" s="15"/>
      <c r="H386" s="19"/>
      <c r="I386" s="19"/>
      <c r="J386" s="15"/>
      <c r="K386" s="15"/>
      <c r="L386" s="15"/>
      <c r="M386" s="15"/>
    </row>
    <row r="387" spans="2:13" ht="14">
      <c r="B387" s="15"/>
      <c r="C387" s="15"/>
      <c r="D387" s="15"/>
      <c r="E387" s="15"/>
      <c r="F387" s="15"/>
      <c r="G387" s="15"/>
      <c r="H387" s="19"/>
      <c r="I387" s="19"/>
      <c r="J387" s="15"/>
      <c r="K387" s="15"/>
      <c r="L387" s="15"/>
      <c r="M387" s="15"/>
    </row>
    <row r="388" spans="2:13" ht="14">
      <c r="B388" s="15"/>
      <c r="C388" s="15"/>
      <c r="D388" s="15"/>
      <c r="E388" s="15"/>
      <c r="F388" s="15"/>
      <c r="G388" s="15"/>
      <c r="H388" s="19"/>
      <c r="I388" s="19"/>
      <c r="J388" s="15"/>
      <c r="K388" s="15"/>
      <c r="L388" s="15"/>
      <c r="M388" s="15"/>
    </row>
    <row r="389" spans="2:13" ht="14">
      <c r="B389" s="15"/>
      <c r="C389" s="15"/>
      <c r="D389" s="15"/>
      <c r="E389" s="15"/>
      <c r="F389" s="15"/>
      <c r="G389" s="15"/>
      <c r="H389" s="19"/>
      <c r="I389" s="19"/>
      <c r="J389" s="15"/>
      <c r="K389" s="15"/>
      <c r="L389" s="15"/>
      <c r="M389" s="15"/>
    </row>
    <row r="390" spans="2:13" ht="14">
      <c r="B390" s="15"/>
      <c r="C390" s="15"/>
      <c r="D390" s="15"/>
      <c r="E390" s="15"/>
      <c r="F390" s="15"/>
      <c r="G390" s="15"/>
      <c r="H390" s="19"/>
      <c r="I390" s="19"/>
      <c r="J390" s="15"/>
      <c r="K390" s="15"/>
      <c r="L390" s="15"/>
      <c r="M390" s="15"/>
    </row>
    <row r="391" spans="2:13" ht="14">
      <c r="B391" s="15"/>
      <c r="C391" s="15"/>
      <c r="D391" s="15"/>
      <c r="E391" s="15"/>
      <c r="F391" s="15"/>
      <c r="G391" s="15"/>
      <c r="H391" s="19"/>
      <c r="I391" s="19"/>
      <c r="J391" s="15"/>
      <c r="K391" s="15"/>
      <c r="L391" s="15"/>
      <c r="M391" s="15"/>
    </row>
    <row r="392" spans="2:13" ht="14">
      <c r="B392" s="15"/>
      <c r="C392" s="15"/>
      <c r="D392" s="15"/>
      <c r="E392" s="15"/>
      <c r="F392" s="15"/>
      <c r="G392" s="15"/>
      <c r="H392" s="19"/>
      <c r="I392" s="19"/>
      <c r="J392" s="15"/>
      <c r="K392" s="15"/>
      <c r="L392" s="15"/>
      <c r="M392" s="15"/>
    </row>
    <row r="393" spans="2:13" ht="14">
      <c r="B393" s="15"/>
      <c r="C393" s="15"/>
      <c r="D393" s="15"/>
      <c r="E393" s="15"/>
      <c r="F393" s="15"/>
      <c r="G393" s="15"/>
      <c r="H393" s="19"/>
      <c r="I393" s="19"/>
      <c r="J393" s="15"/>
      <c r="K393" s="15"/>
      <c r="L393" s="15"/>
      <c r="M393" s="15"/>
    </row>
    <row r="394" spans="2:13" ht="14">
      <c r="B394" s="15"/>
      <c r="C394" s="15"/>
      <c r="D394" s="15"/>
      <c r="E394" s="15"/>
      <c r="F394" s="15"/>
      <c r="G394" s="15"/>
      <c r="H394" s="19"/>
      <c r="I394" s="19"/>
      <c r="J394" s="15"/>
      <c r="K394" s="15"/>
      <c r="L394" s="15"/>
      <c r="M394" s="15"/>
    </row>
    <row r="395" spans="2:13" ht="14">
      <c r="B395" s="15"/>
      <c r="C395" s="15"/>
      <c r="D395" s="15"/>
      <c r="E395" s="15"/>
      <c r="F395" s="15"/>
      <c r="G395" s="15"/>
      <c r="H395" s="19"/>
      <c r="I395" s="19"/>
      <c r="J395" s="15"/>
      <c r="K395" s="15"/>
      <c r="L395" s="15"/>
      <c r="M395" s="15"/>
    </row>
    <row r="396" spans="2:13" ht="14">
      <c r="B396" s="15"/>
      <c r="C396" s="15"/>
      <c r="D396" s="15"/>
      <c r="E396" s="15"/>
      <c r="F396" s="15"/>
      <c r="G396" s="15"/>
      <c r="H396" s="19"/>
      <c r="I396" s="19"/>
      <c r="J396" s="15"/>
      <c r="K396" s="15"/>
      <c r="L396" s="15"/>
      <c r="M396" s="15"/>
    </row>
    <row r="397" spans="2:13" ht="14">
      <c r="B397" s="15"/>
      <c r="C397" s="15"/>
      <c r="D397" s="15"/>
      <c r="E397" s="15"/>
      <c r="F397" s="15"/>
      <c r="G397" s="15"/>
      <c r="H397" s="19"/>
      <c r="I397" s="19"/>
      <c r="J397" s="15"/>
      <c r="K397" s="15"/>
      <c r="L397" s="15"/>
      <c r="M397" s="15"/>
    </row>
    <row r="398" spans="2:13" ht="14">
      <c r="B398" s="15"/>
      <c r="C398" s="15"/>
      <c r="D398" s="15"/>
      <c r="E398" s="15"/>
      <c r="F398" s="15"/>
      <c r="G398" s="15"/>
      <c r="H398" s="19"/>
      <c r="I398" s="19"/>
      <c r="J398" s="15"/>
      <c r="K398" s="15"/>
      <c r="L398" s="15"/>
      <c r="M398" s="15"/>
    </row>
    <row r="399" spans="2:13" ht="14">
      <c r="B399" s="15"/>
      <c r="C399" s="15"/>
      <c r="D399" s="15"/>
      <c r="E399" s="15"/>
      <c r="F399" s="15"/>
      <c r="G399" s="15"/>
      <c r="H399" s="19"/>
      <c r="I399" s="19"/>
      <c r="J399" s="15"/>
      <c r="K399" s="15"/>
      <c r="L399" s="15"/>
      <c r="M399" s="15"/>
    </row>
    <row r="400" spans="2:13" ht="14">
      <c r="B400" s="15"/>
      <c r="C400" s="15"/>
      <c r="D400" s="15"/>
      <c r="E400" s="15"/>
      <c r="F400" s="15"/>
      <c r="G400" s="15"/>
      <c r="H400" s="19"/>
      <c r="I400" s="19"/>
      <c r="J400" s="15"/>
      <c r="K400" s="15"/>
      <c r="L400" s="15"/>
      <c r="M400" s="15"/>
    </row>
    <row r="401" spans="2:13" ht="14">
      <c r="B401" s="15"/>
      <c r="C401" s="15"/>
      <c r="D401" s="15"/>
      <c r="E401" s="15"/>
      <c r="F401" s="15"/>
      <c r="G401" s="15"/>
      <c r="H401" s="19"/>
      <c r="I401" s="19"/>
      <c r="J401" s="15"/>
      <c r="K401" s="15"/>
      <c r="L401" s="15"/>
      <c r="M401" s="15"/>
    </row>
    <row r="402" spans="2:13" ht="14">
      <c r="B402" s="15"/>
      <c r="C402" s="15"/>
      <c r="D402" s="15"/>
      <c r="E402" s="15"/>
      <c r="F402" s="15"/>
      <c r="G402" s="15"/>
      <c r="H402" s="19"/>
      <c r="I402" s="19"/>
      <c r="J402" s="15"/>
      <c r="K402" s="15"/>
      <c r="L402" s="15"/>
      <c r="M402" s="15"/>
    </row>
    <row r="403" spans="2:13" ht="14">
      <c r="B403" s="15"/>
      <c r="C403" s="15"/>
      <c r="D403" s="15"/>
      <c r="E403" s="15"/>
      <c r="F403" s="15"/>
      <c r="G403" s="15"/>
      <c r="H403" s="19"/>
      <c r="I403" s="19"/>
      <c r="J403" s="15"/>
      <c r="K403" s="15"/>
      <c r="L403" s="15"/>
      <c r="M403" s="15"/>
    </row>
    <row r="404" spans="2:13" ht="14">
      <c r="B404" s="15"/>
      <c r="C404" s="15"/>
      <c r="D404" s="15"/>
      <c r="E404" s="15"/>
      <c r="F404" s="15"/>
      <c r="G404" s="15"/>
      <c r="H404" s="19"/>
      <c r="I404" s="19"/>
      <c r="J404" s="15"/>
      <c r="K404" s="15"/>
      <c r="L404" s="15"/>
      <c r="M404" s="15"/>
    </row>
    <row r="405" spans="2:13" ht="14">
      <c r="B405" s="15"/>
      <c r="C405" s="15"/>
      <c r="D405" s="15"/>
      <c r="E405" s="15"/>
      <c r="F405" s="15"/>
      <c r="G405" s="15"/>
      <c r="H405" s="19"/>
      <c r="I405" s="19"/>
      <c r="J405" s="15"/>
      <c r="K405" s="15"/>
      <c r="L405" s="15"/>
      <c r="M405" s="15"/>
    </row>
    <row r="406" spans="2:13" ht="14">
      <c r="B406" s="15"/>
      <c r="C406" s="15"/>
      <c r="D406" s="15"/>
      <c r="E406" s="15"/>
      <c r="F406" s="15"/>
      <c r="G406" s="15"/>
      <c r="H406" s="19"/>
      <c r="I406" s="19"/>
      <c r="J406" s="15"/>
      <c r="K406" s="15"/>
      <c r="L406" s="15"/>
      <c r="M406" s="15"/>
    </row>
    <row r="407" spans="2:13" ht="14">
      <c r="B407" s="15"/>
      <c r="C407" s="15"/>
      <c r="D407" s="15"/>
      <c r="E407" s="15"/>
      <c r="F407" s="15"/>
      <c r="G407" s="15"/>
      <c r="H407" s="19"/>
      <c r="I407" s="19"/>
      <c r="J407" s="15"/>
      <c r="K407" s="15"/>
      <c r="L407" s="15"/>
      <c r="M407" s="15"/>
    </row>
    <row r="408" spans="2:13" ht="14">
      <c r="B408" s="15"/>
      <c r="C408" s="15"/>
      <c r="D408" s="15"/>
      <c r="E408" s="15"/>
      <c r="F408" s="15"/>
      <c r="G408" s="15"/>
      <c r="H408" s="19"/>
      <c r="I408" s="19"/>
      <c r="J408" s="15"/>
      <c r="K408" s="15"/>
      <c r="L408" s="15"/>
      <c r="M408" s="15"/>
    </row>
    <row r="409" spans="2:13" ht="14">
      <c r="B409" s="15"/>
      <c r="C409" s="15"/>
      <c r="D409" s="15"/>
      <c r="E409" s="15"/>
      <c r="F409" s="15"/>
      <c r="G409" s="15"/>
      <c r="H409" s="19"/>
      <c r="I409" s="19"/>
      <c r="J409" s="15"/>
      <c r="K409" s="15"/>
      <c r="L409" s="15"/>
      <c r="M409" s="15"/>
    </row>
    <row r="410" spans="2:13" ht="14">
      <c r="B410" s="15"/>
      <c r="C410" s="15"/>
      <c r="D410" s="15"/>
      <c r="E410" s="15"/>
      <c r="F410" s="15"/>
      <c r="G410" s="15"/>
      <c r="H410" s="19"/>
      <c r="I410" s="19"/>
      <c r="J410" s="15"/>
      <c r="K410" s="15"/>
      <c r="L410" s="15"/>
      <c r="M410" s="15"/>
    </row>
    <row r="411" spans="2:13" ht="14">
      <c r="B411" s="15"/>
      <c r="C411" s="15"/>
      <c r="D411" s="15"/>
      <c r="E411" s="15"/>
      <c r="F411" s="15"/>
      <c r="G411" s="15"/>
      <c r="H411" s="19"/>
      <c r="I411" s="19"/>
      <c r="J411" s="15"/>
      <c r="K411" s="15"/>
      <c r="L411" s="15"/>
      <c r="M411" s="15"/>
    </row>
    <row r="412" spans="2:13" ht="14">
      <c r="B412" s="15"/>
      <c r="C412" s="15"/>
      <c r="D412" s="15"/>
      <c r="E412" s="15"/>
      <c r="F412" s="15"/>
      <c r="G412" s="15"/>
      <c r="H412" s="19"/>
      <c r="I412" s="19"/>
      <c r="J412" s="15"/>
      <c r="K412" s="15"/>
      <c r="L412" s="15"/>
      <c r="M412" s="15"/>
    </row>
    <row r="413" spans="2:13" ht="14">
      <c r="B413" s="15"/>
      <c r="C413" s="15"/>
      <c r="D413" s="15"/>
      <c r="E413" s="15"/>
      <c r="F413" s="15"/>
      <c r="G413" s="15"/>
      <c r="H413" s="19"/>
      <c r="I413" s="19"/>
      <c r="J413" s="15"/>
      <c r="K413" s="15"/>
      <c r="L413" s="15"/>
      <c r="M413" s="15"/>
    </row>
    <row r="414" spans="2:13" ht="14">
      <c r="B414" s="15"/>
      <c r="C414" s="15"/>
      <c r="D414" s="15"/>
      <c r="E414" s="15"/>
      <c r="F414" s="15"/>
      <c r="G414" s="15"/>
      <c r="H414" s="19"/>
      <c r="I414" s="19"/>
      <c r="J414" s="15"/>
      <c r="K414" s="15"/>
      <c r="L414" s="15"/>
      <c r="M414" s="15"/>
    </row>
    <row r="415" spans="2:13" ht="14">
      <c r="B415" s="15"/>
      <c r="C415" s="15"/>
      <c r="D415" s="15"/>
      <c r="E415" s="15"/>
      <c r="F415" s="15"/>
      <c r="G415" s="15"/>
      <c r="H415" s="19"/>
      <c r="I415" s="19"/>
      <c r="J415" s="15"/>
      <c r="K415" s="15"/>
      <c r="L415" s="15"/>
      <c r="M415" s="15"/>
    </row>
    <row r="416" spans="2:13" ht="14">
      <c r="B416" s="15"/>
      <c r="C416" s="15"/>
      <c r="D416" s="15"/>
      <c r="E416" s="15"/>
      <c r="F416" s="15"/>
      <c r="G416" s="15"/>
      <c r="H416" s="19"/>
      <c r="I416" s="19"/>
      <c r="J416" s="15"/>
      <c r="K416" s="15"/>
      <c r="L416" s="15"/>
      <c r="M416" s="15"/>
    </row>
    <row r="417" spans="2:13" ht="14">
      <c r="B417" s="15"/>
      <c r="C417" s="15"/>
      <c r="D417" s="15"/>
      <c r="E417" s="15"/>
      <c r="F417" s="15"/>
      <c r="G417" s="15"/>
      <c r="H417" s="19"/>
      <c r="I417" s="19"/>
      <c r="J417" s="15"/>
      <c r="K417" s="15"/>
      <c r="L417" s="15"/>
      <c r="M417" s="15"/>
    </row>
    <row r="418" spans="2:13" ht="14">
      <c r="B418" s="15"/>
      <c r="C418" s="15"/>
      <c r="D418" s="15"/>
      <c r="E418" s="15"/>
      <c r="F418" s="15"/>
      <c r="G418" s="15"/>
      <c r="H418" s="19"/>
      <c r="I418" s="19"/>
      <c r="J418" s="15"/>
      <c r="K418" s="15"/>
      <c r="L418" s="15"/>
      <c r="M418" s="15"/>
    </row>
    <row r="419" spans="2:13" ht="14">
      <c r="B419" s="15"/>
      <c r="C419" s="15"/>
      <c r="D419" s="15"/>
      <c r="E419" s="15"/>
      <c r="F419" s="15"/>
      <c r="G419" s="15"/>
      <c r="H419" s="19"/>
      <c r="I419" s="19"/>
      <c r="J419" s="15"/>
      <c r="K419" s="15"/>
      <c r="L419" s="15"/>
      <c r="M419" s="15"/>
    </row>
    <row r="420" spans="2:13" ht="14">
      <c r="B420" s="15"/>
      <c r="C420" s="15"/>
      <c r="D420" s="15"/>
      <c r="E420" s="15"/>
      <c r="F420" s="15"/>
      <c r="G420" s="15"/>
      <c r="H420" s="19"/>
      <c r="I420" s="19"/>
      <c r="J420" s="15"/>
      <c r="K420" s="15"/>
      <c r="L420" s="15"/>
      <c r="M420" s="15"/>
    </row>
    <row r="421" spans="2:13" ht="14">
      <c r="B421" s="15"/>
      <c r="C421" s="15"/>
      <c r="D421" s="15"/>
      <c r="E421" s="15"/>
      <c r="F421" s="15"/>
      <c r="G421" s="15"/>
      <c r="H421" s="19"/>
      <c r="I421" s="19"/>
      <c r="J421" s="15"/>
      <c r="K421" s="15"/>
      <c r="L421" s="15"/>
      <c r="M421" s="15"/>
    </row>
    <row r="422" spans="2:13" ht="14">
      <c r="B422" s="15"/>
      <c r="C422" s="15"/>
      <c r="D422" s="15"/>
      <c r="E422" s="15"/>
      <c r="F422" s="15"/>
      <c r="G422" s="15"/>
      <c r="H422" s="19"/>
      <c r="I422" s="19"/>
      <c r="J422" s="15"/>
      <c r="K422" s="15"/>
      <c r="L422" s="15"/>
      <c r="M422" s="15"/>
    </row>
    <row r="423" spans="2:13" ht="14">
      <c r="B423" s="15"/>
      <c r="C423" s="15"/>
      <c r="D423" s="15"/>
      <c r="E423" s="15"/>
      <c r="F423" s="15"/>
      <c r="G423" s="15"/>
      <c r="H423" s="19"/>
      <c r="I423" s="19"/>
      <c r="J423" s="15"/>
      <c r="K423" s="15"/>
      <c r="L423" s="15"/>
      <c r="M423" s="15"/>
    </row>
    <row r="424" spans="2:13" ht="14">
      <c r="B424" s="15"/>
      <c r="C424" s="15"/>
      <c r="D424" s="15"/>
      <c r="E424" s="15"/>
      <c r="F424" s="15"/>
      <c r="G424" s="15"/>
      <c r="H424" s="19"/>
      <c r="I424" s="19"/>
      <c r="J424" s="15"/>
      <c r="K424" s="15"/>
      <c r="L424" s="15"/>
      <c r="M424" s="15"/>
    </row>
    <row r="425" spans="2:13" ht="14">
      <c r="B425" s="15"/>
      <c r="C425" s="15"/>
      <c r="D425" s="15"/>
      <c r="E425" s="15"/>
      <c r="F425" s="15"/>
      <c r="G425" s="15"/>
      <c r="H425" s="19"/>
      <c r="I425" s="19"/>
      <c r="J425" s="15"/>
      <c r="K425" s="15"/>
      <c r="L425" s="15"/>
      <c r="M425" s="15"/>
    </row>
    <row r="426" spans="2:13" ht="14">
      <c r="B426" s="15"/>
      <c r="C426" s="15"/>
      <c r="D426" s="15"/>
      <c r="E426" s="15"/>
      <c r="F426" s="15"/>
      <c r="G426" s="15"/>
      <c r="H426" s="19"/>
      <c r="I426" s="19"/>
      <c r="J426" s="15"/>
      <c r="K426" s="15"/>
      <c r="L426" s="15"/>
      <c r="M426" s="15"/>
    </row>
    <row r="427" spans="2:13" ht="14">
      <c r="B427" s="15"/>
      <c r="C427" s="15"/>
      <c r="D427" s="15"/>
      <c r="E427" s="15"/>
      <c r="F427" s="15"/>
      <c r="G427" s="15"/>
      <c r="H427" s="19"/>
      <c r="I427" s="19"/>
      <c r="J427" s="15"/>
      <c r="K427" s="15"/>
      <c r="L427" s="15"/>
      <c r="M427" s="15"/>
    </row>
    <row r="428" spans="2:13" ht="14">
      <c r="B428" s="15"/>
      <c r="C428" s="15"/>
      <c r="D428" s="15"/>
      <c r="E428" s="15"/>
      <c r="F428" s="15"/>
      <c r="G428" s="15"/>
      <c r="H428" s="19"/>
      <c r="I428" s="19"/>
      <c r="J428" s="15"/>
      <c r="K428" s="15"/>
      <c r="L428" s="15"/>
      <c r="M428" s="15"/>
    </row>
    <row r="429" spans="2:13" ht="14">
      <c r="B429" s="15"/>
      <c r="C429" s="15"/>
      <c r="D429" s="15"/>
      <c r="E429" s="15"/>
      <c r="F429" s="15"/>
      <c r="G429" s="15"/>
      <c r="H429" s="19"/>
      <c r="I429" s="19"/>
      <c r="J429" s="15"/>
      <c r="K429" s="15"/>
      <c r="L429" s="15"/>
      <c r="M429" s="15"/>
    </row>
    <row r="430" spans="2:13" ht="14">
      <c r="B430" s="15"/>
      <c r="C430" s="15"/>
      <c r="D430" s="15"/>
      <c r="E430" s="15"/>
      <c r="F430" s="15"/>
      <c r="G430" s="15"/>
      <c r="H430" s="19"/>
      <c r="I430" s="19"/>
      <c r="J430" s="15"/>
      <c r="K430" s="15"/>
      <c r="L430" s="15"/>
      <c r="M430" s="15"/>
    </row>
    <row r="431" spans="2:13" ht="14">
      <c r="B431" s="15"/>
      <c r="C431" s="15"/>
      <c r="D431" s="15"/>
      <c r="E431" s="15"/>
      <c r="F431" s="15"/>
      <c r="G431" s="15"/>
      <c r="H431" s="19"/>
      <c r="I431" s="19"/>
      <c r="J431" s="15"/>
      <c r="K431" s="15"/>
      <c r="L431" s="15"/>
      <c r="M431" s="15"/>
    </row>
    <row r="432" spans="2:13" ht="14">
      <c r="B432" s="15"/>
      <c r="C432" s="15"/>
      <c r="D432" s="15"/>
      <c r="E432" s="15"/>
      <c r="F432" s="15"/>
      <c r="G432" s="15"/>
      <c r="H432" s="19"/>
      <c r="I432" s="19"/>
      <c r="J432" s="15"/>
      <c r="K432" s="15"/>
      <c r="L432" s="15"/>
      <c r="M432" s="15"/>
    </row>
    <row r="433" spans="2:13" ht="14">
      <c r="B433" s="15"/>
      <c r="C433" s="15"/>
      <c r="D433" s="15"/>
      <c r="E433" s="15"/>
      <c r="F433" s="15"/>
      <c r="G433" s="15"/>
      <c r="H433" s="19"/>
      <c r="I433" s="19"/>
      <c r="J433" s="15"/>
      <c r="K433" s="15"/>
      <c r="L433" s="15"/>
      <c r="M433" s="15"/>
    </row>
    <row r="434" spans="2:13" ht="14">
      <c r="B434" s="15"/>
      <c r="C434" s="15"/>
      <c r="D434" s="15"/>
      <c r="E434" s="15"/>
      <c r="F434" s="15"/>
      <c r="G434" s="15"/>
      <c r="H434" s="19"/>
      <c r="I434" s="19"/>
      <c r="J434" s="15"/>
      <c r="K434" s="15"/>
      <c r="L434" s="15"/>
      <c r="M434" s="15"/>
    </row>
    <row r="435" spans="2:13" ht="14">
      <c r="B435" s="15"/>
      <c r="C435" s="15"/>
      <c r="D435" s="15"/>
      <c r="E435" s="15"/>
      <c r="F435" s="15"/>
      <c r="G435" s="15"/>
      <c r="H435" s="19"/>
      <c r="I435" s="19"/>
      <c r="J435" s="15"/>
      <c r="K435" s="15"/>
      <c r="L435" s="15"/>
      <c r="M435" s="15"/>
    </row>
    <row r="436" spans="2:13" ht="14">
      <c r="B436" s="15"/>
      <c r="C436" s="15"/>
      <c r="D436" s="15"/>
      <c r="E436" s="15"/>
      <c r="F436" s="15"/>
      <c r="G436" s="15"/>
      <c r="H436" s="19"/>
      <c r="I436" s="19"/>
      <c r="J436" s="15"/>
      <c r="K436" s="15"/>
      <c r="L436" s="15"/>
      <c r="M436" s="15"/>
    </row>
    <row r="437" spans="2:13" ht="14">
      <c r="B437" s="15"/>
      <c r="C437" s="15"/>
      <c r="D437" s="15"/>
      <c r="E437" s="15"/>
      <c r="F437" s="15"/>
      <c r="G437" s="15"/>
      <c r="H437" s="19"/>
      <c r="I437" s="19"/>
      <c r="J437" s="15"/>
      <c r="K437" s="15"/>
      <c r="L437" s="15"/>
      <c r="M437" s="15"/>
    </row>
    <row r="438" spans="2:13" ht="14">
      <c r="B438" s="15"/>
      <c r="C438" s="15"/>
      <c r="D438" s="15"/>
      <c r="E438" s="15"/>
      <c r="F438" s="15"/>
      <c r="G438" s="15"/>
      <c r="H438" s="19"/>
      <c r="I438" s="19"/>
      <c r="J438" s="15"/>
      <c r="K438" s="15"/>
      <c r="L438" s="15"/>
      <c r="M438" s="15"/>
    </row>
    <row r="439" spans="2:13" ht="14">
      <c r="B439" s="15"/>
      <c r="C439" s="15"/>
      <c r="D439" s="15"/>
      <c r="E439" s="15"/>
      <c r="F439" s="15"/>
      <c r="G439" s="15"/>
      <c r="H439" s="19"/>
      <c r="I439" s="19"/>
      <c r="J439" s="15"/>
      <c r="K439" s="15"/>
      <c r="L439" s="15"/>
      <c r="M439" s="15"/>
    </row>
    <row r="440" spans="2:13" ht="14">
      <c r="B440" s="15"/>
      <c r="C440" s="15"/>
      <c r="D440" s="15"/>
      <c r="E440" s="15"/>
      <c r="F440" s="15"/>
      <c r="G440" s="15"/>
      <c r="H440" s="19"/>
      <c r="I440" s="19"/>
      <c r="J440" s="15"/>
      <c r="K440" s="15"/>
      <c r="L440" s="15"/>
      <c r="M440" s="15"/>
    </row>
    <row r="441" spans="2:13" ht="14">
      <c r="B441" s="15"/>
      <c r="C441" s="15"/>
      <c r="D441" s="15"/>
      <c r="E441" s="15"/>
      <c r="F441" s="15"/>
      <c r="G441" s="15"/>
      <c r="H441" s="19"/>
      <c r="I441" s="19"/>
      <c r="J441" s="15"/>
      <c r="K441" s="15"/>
      <c r="L441" s="15"/>
      <c r="M441" s="15"/>
    </row>
    <row r="442" spans="2:13" ht="14">
      <c r="B442" s="15"/>
      <c r="C442" s="15"/>
      <c r="D442" s="15"/>
      <c r="E442" s="15"/>
      <c r="F442" s="15"/>
      <c r="G442" s="15"/>
      <c r="H442" s="19"/>
      <c r="I442" s="19"/>
      <c r="J442" s="15"/>
      <c r="K442" s="15"/>
      <c r="L442" s="15"/>
      <c r="M442" s="15"/>
    </row>
    <row r="443" spans="2:13" ht="14">
      <c r="B443" s="15"/>
      <c r="C443" s="15"/>
      <c r="D443" s="15"/>
      <c r="E443" s="15"/>
      <c r="F443" s="15"/>
      <c r="G443" s="15"/>
      <c r="H443" s="19"/>
      <c r="I443" s="19"/>
      <c r="J443" s="15"/>
      <c r="K443" s="15"/>
      <c r="L443" s="15"/>
      <c r="M443" s="15"/>
    </row>
    <row r="444" spans="2:13" ht="14">
      <c r="B444" s="15"/>
      <c r="C444" s="15"/>
      <c r="D444" s="15"/>
      <c r="E444" s="15"/>
      <c r="F444" s="15"/>
      <c r="G444" s="15"/>
      <c r="H444" s="19"/>
      <c r="I444" s="19"/>
      <c r="J444" s="15"/>
      <c r="K444" s="15"/>
      <c r="L444" s="15"/>
      <c r="M444" s="15"/>
    </row>
    <row r="445" spans="2:13" ht="14">
      <c r="B445" s="15"/>
      <c r="C445" s="15"/>
      <c r="D445" s="15"/>
      <c r="E445" s="15"/>
      <c r="F445" s="15"/>
      <c r="G445" s="15"/>
      <c r="H445" s="19"/>
      <c r="I445" s="19"/>
      <c r="J445" s="15"/>
      <c r="K445" s="15"/>
      <c r="L445" s="15"/>
      <c r="M445" s="15"/>
    </row>
    <row r="446" spans="2:13" ht="14">
      <c r="B446" s="15"/>
      <c r="C446" s="15"/>
      <c r="D446" s="15"/>
      <c r="E446" s="15"/>
      <c r="F446" s="15"/>
      <c r="G446" s="15"/>
      <c r="H446" s="19"/>
      <c r="I446" s="19"/>
      <c r="J446" s="15"/>
      <c r="K446" s="15"/>
      <c r="L446" s="15"/>
      <c r="M446" s="15"/>
    </row>
    <row r="447" spans="2:13" ht="14">
      <c r="B447" s="15"/>
      <c r="C447" s="15"/>
      <c r="D447" s="15"/>
      <c r="E447" s="15"/>
      <c r="F447" s="15"/>
      <c r="G447" s="15"/>
      <c r="H447" s="19"/>
      <c r="I447" s="19"/>
      <c r="J447" s="15"/>
      <c r="K447" s="15"/>
      <c r="L447" s="15"/>
      <c r="M447" s="15"/>
    </row>
    <row r="448" spans="2:13" ht="14">
      <c r="B448" s="15"/>
      <c r="C448" s="15"/>
      <c r="D448" s="15"/>
      <c r="E448" s="15"/>
      <c r="F448" s="15"/>
      <c r="G448" s="15"/>
      <c r="H448" s="19"/>
      <c r="I448" s="19"/>
      <c r="J448" s="15"/>
      <c r="K448" s="15"/>
      <c r="L448" s="15"/>
      <c r="M448" s="15"/>
    </row>
    <row r="449" spans="2:13" ht="14">
      <c r="B449" s="15"/>
      <c r="C449" s="15"/>
      <c r="D449" s="15"/>
      <c r="E449" s="15"/>
      <c r="F449" s="15"/>
      <c r="G449" s="15"/>
      <c r="H449" s="19"/>
      <c r="I449" s="19"/>
      <c r="J449" s="15"/>
      <c r="K449" s="15"/>
      <c r="L449" s="15"/>
      <c r="M449" s="15"/>
    </row>
    <row r="450" spans="2:13" ht="14">
      <c r="B450" s="15"/>
      <c r="C450" s="15"/>
      <c r="D450" s="15"/>
      <c r="E450" s="15"/>
      <c r="F450" s="15"/>
      <c r="G450" s="15"/>
      <c r="H450" s="19"/>
      <c r="I450" s="19"/>
      <c r="J450" s="15"/>
      <c r="K450" s="15"/>
      <c r="L450" s="15"/>
      <c r="M450" s="15"/>
    </row>
    <row r="451" spans="2:13" ht="14">
      <c r="B451" s="15"/>
      <c r="C451" s="15"/>
      <c r="D451" s="15"/>
      <c r="E451" s="15"/>
      <c r="F451" s="15"/>
      <c r="G451" s="15"/>
      <c r="H451" s="19"/>
      <c r="I451" s="19"/>
      <c r="J451" s="15"/>
      <c r="K451" s="15"/>
      <c r="L451" s="15"/>
      <c r="M451" s="15"/>
    </row>
    <row r="452" spans="2:13" ht="14">
      <c r="B452" s="15"/>
      <c r="C452" s="15"/>
      <c r="D452" s="15"/>
      <c r="E452" s="15"/>
      <c r="F452" s="15"/>
      <c r="G452" s="15"/>
      <c r="H452" s="19"/>
      <c r="I452" s="19"/>
      <c r="J452" s="15"/>
      <c r="K452" s="15"/>
      <c r="L452" s="15"/>
      <c r="M452" s="15"/>
    </row>
    <row r="453" spans="2:13" ht="14">
      <c r="B453" s="15"/>
      <c r="C453" s="15"/>
      <c r="D453" s="15"/>
      <c r="E453" s="15"/>
      <c r="F453" s="15"/>
      <c r="G453" s="15"/>
      <c r="H453" s="19"/>
      <c r="I453" s="19"/>
      <c r="J453" s="15"/>
      <c r="K453" s="15"/>
      <c r="L453" s="15"/>
      <c r="M453" s="15"/>
    </row>
    <row r="454" spans="2:13" ht="14">
      <c r="B454" s="15"/>
      <c r="C454" s="15"/>
      <c r="D454" s="15"/>
      <c r="E454" s="15"/>
      <c r="F454" s="15"/>
      <c r="G454" s="15"/>
      <c r="H454" s="19"/>
      <c r="I454" s="19"/>
      <c r="J454" s="15"/>
      <c r="K454" s="15"/>
      <c r="L454" s="15"/>
      <c r="M454" s="15"/>
    </row>
    <row r="455" spans="2:13" ht="14">
      <c r="B455" s="15"/>
      <c r="C455" s="15"/>
      <c r="D455" s="15"/>
      <c r="E455" s="15"/>
      <c r="F455" s="15"/>
      <c r="G455" s="15"/>
      <c r="H455" s="19"/>
      <c r="I455" s="19"/>
      <c r="J455" s="15"/>
      <c r="K455" s="15"/>
      <c r="L455" s="15"/>
      <c r="M455" s="15"/>
    </row>
    <row r="456" spans="2:13" ht="14">
      <c r="B456" s="15"/>
      <c r="C456" s="15"/>
      <c r="D456" s="15"/>
      <c r="E456" s="15"/>
      <c r="F456" s="15"/>
      <c r="G456" s="15"/>
      <c r="H456" s="19"/>
      <c r="I456" s="19"/>
      <c r="J456" s="15"/>
      <c r="K456" s="15"/>
      <c r="L456" s="15"/>
      <c r="M456" s="15"/>
    </row>
    <row r="457" spans="2:13" ht="14">
      <c r="B457" s="15"/>
      <c r="C457" s="15"/>
      <c r="D457" s="15"/>
      <c r="E457" s="15"/>
      <c r="F457" s="15"/>
      <c r="G457" s="15"/>
      <c r="H457" s="19"/>
      <c r="I457" s="19"/>
      <c r="J457" s="15"/>
      <c r="K457" s="15"/>
      <c r="L457" s="15"/>
      <c r="M457" s="15"/>
    </row>
    <row r="458" spans="2:13" ht="14">
      <c r="B458" s="15"/>
      <c r="C458" s="15"/>
      <c r="D458" s="15"/>
      <c r="E458" s="15"/>
      <c r="F458" s="15"/>
      <c r="G458" s="15"/>
      <c r="H458" s="19"/>
      <c r="I458" s="19"/>
      <c r="J458" s="15"/>
      <c r="K458" s="15"/>
      <c r="L458" s="15"/>
      <c r="M458" s="15"/>
    </row>
    <row r="459" spans="2:13" ht="14">
      <c r="B459" s="15"/>
      <c r="C459" s="15"/>
      <c r="D459" s="15"/>
      <c r="E459" s="15"/>
      <c r="F459" s="15"/>
      <c r="G459" s="15"/>
      <c r="H459" s="19"/>
      <c r="I459" s="19"/>
      <c r="J459" s="15"/>
      <c r="K459" s="15"/>
      <c r="L459" s="15"/>
      <c r="M459" s="15"/>
    </row>
    <row r="460" spans="2:13" ht="14">
      <c r="B460" s="15"/>
      <c r="C460" s="15"/>
      <c r="D460" s="15"/>
      <c r="E460" s="15"/>
      <c r="F460" s="15"/>
      <c r="G460" s="15"/>
      <c r="H460" s="19"/>
      <c r="I460" s="19"/>
      <c r="J460" s="15"/>
      <c r="K460" s="15"/>
      <c r="L460" s="15"/>
      <c r="M460" s="15"/>
    </row>
    <row r="461" spans="2:13" ht="14">
      <c r="B461" s="15"/>
      <c r="C461" s="15"/>
      <c r="D461" s="15"/>
      <c r="E461" s="15"/>
      <c r="F461" s="15"/>
      <c r="G461" s="15"/>
      <c r="H461" s="19"/>
      <c r="I461" s="19"/>
      <c r="J461" s="15"/>
      <c r="K461" s="15"/>
      <c r="L461" s="15"/>
      <c r="M461" s="15"/>
    </row>
    <row r="462" spans="2:13" ht="14">
      <c r="B462" s="15"/>
      <c r="C462" s="15"/>
      <c r="D462" s="15"/>
      <c r="E462" s="15"/>
      <c r="F462" s="15"/>
      <c r="G462" s="15"/>
      <c r="H462" s="19"/>
      <c r="I462" s="19"/>
      <c r="J462" s="15"/>
      <c r="K462" s="15"/>
      <c r="L462" s="15"/>
      <c r="M462" s="15"/>
    </row>
    <row r="463" spans="2:13" ht="14">
      <c r="B463" s="15"/>
      <c r="C463" s="15"/>
      <c r="D463" s="15"/>
      <c r="E463" s="15"/>
      <c r="F463" s="15"/>
      <c r="G463" s="15"/>
      <c r="H463" s="19"/>
      <c r="I463" s="19"/>
      <c r="J463" s="15"/>
      <c r="K463" s="15"/>
      <c r="L463" s="15"/>
      <c r="M463" s="15"/>
    </row>
    <row r="464" spans="2:13" ht="14">
      <c r="B464" s="15"/>
      <c r="C464" s="15"/>
      <c r="D464" s="15"/>
      <c r="E464" s="15"/>
      <c r="F464" s="15"/>
      <c r="G464" s="15"/>
      <c r="H464" s="19"/>
      <c r="I464" s="19"/>
      <c r="J464" s="15"/>
      <c r="K464" s="15"/>
      <c r="L464" s="15"/>
      <c r="M464" s="15"/>
    </row>
    <row r="465" spans="2:13" ht="14">
      <c r="B465" s="15"/>
      <c r="C465" s="15"/>
      <c r="D465" s="15"/>
      <c r="E465" s="15"/>
      <c r="F465" s="15"/>
      <c r="G465" s="15"/>
      <c r="H465" s="19"/>
      <c r="I465" s="19"/>
      <c r="J465" s="15"/>
      <c r="K465" s="15"/>
      <c r="L465" s="15"/>
      <c r="M465" s="15"/>
    </row>
    <row r="466" spans="2:13" ht="14">
      <c r="B466" s="15"/>
      <c r="C466" s="15"/>
      <c r="D466" s="15"/>
      <c r="E466" s="15"/>
      <c r="F466" s="15"/>
      <c r="G466" s="15"/>
      <c r="H466" s="19"/>
      <c r="I466" s="19"/>
      <c r="J466" s="15"/>
      <c r="K466" s="15"/>
      <c r="L466" s="15"/>
      <c r="M466" s="15"/>
    </row>
    <row r="467" spans="2:13" ht="14">
      <c r="B467" s="15"/>
      <c r="C467" s="15"/>
      <c r="D467" s="15"/>
      <c r="E467" s="15"/>
      <c r="F467" s="15"/>
      <c r="G467" s="15"/>
      <c r="H467" s="19"/>
      <c r="I467" s="19"/>
      <c r="J467" s="15"/>
      <c r="K467" s="15"/>
      <c r="L467" s="15"/>
      <c r="M467" s="15"/>
    </row>
    <row r="468" spans="2:13" ht="14">
      <c r="B468" s="15"/>
      <c r="C468" s="15"/>
      <c r="D468" s="15"/>
      <c r="E468" s="15"/>
      <c r="F468" s="15"/>
      <c r="G468" s="15"/>
      <c r="H468" s="19"/>
      <c r="I468" s="19"/>
      <c r="J468" s="15"/>
      <c r="K468" s="15"/>
      <c r="L468" s="15"/>
      <c r="M468" s="15"/>
    </row>
    <row r="469" spans="2:13" ht="14">
      <c r="B469" s="15"/>
      <c r="C469" s="15"/>
      <c r="D469" s="15"/>
      <c r="E469" s="15"/>
      <c r="F469" s="15"/>
      <c r="G469" s="15"/>
      <c r="H469" s="19"/>
      <c r="I469" s="19"/>
      <c r="J469" s="15"/>
      <c r="K469" s="15"/>
      <c r="L469" s="15"/>
      <c r="M469" s="15"/>
    </row>
    <row r="470" spans="2:13" ht="14">
      <c r="B470" s="15"/>
      <c r="C470" s="15"/>
      <c r="D470" s="15"/>
      <c r="E470" s="15"/>
      <c r="F470" s="15"/>
      <c r="G470" s="15"/>
      <c r="H470" s="19"/>
      <c r="I470" s="19"/>
      <c r="J470" s="15"/>
      <c r="K470" s="15"/>
      <c r="L470" s="15"/>
      <c r="M470" s="15"/>
    </row>
    <row r="471" spans="2:13" ht="14">
      <c r="B471" s="15"/>
      <c r="C471" s="15"/>
      <c r="D471" s="15"/>
      <c r="E471" s="15"/>
      <c r="F471" s="15"/>
      <c r="G471" s="15"/>
      <c r="H471" s="19"/>
      <c r="I471" s="19"/>
      <c r="J471" s="15"/>
      <c r="K471" s="15"/>
      <c r="L471" s="15"/>
      <c r="M471" s="15"/>
    </row>
    <row r="472" spans="2:13" ht="14">
      <c r="B472" s="15"/>
      <c r="C472" s="15"/>
      <c r="D472" s="15"/>
      <c r="E472" s="15"/>
      <c r="F472" s="15"/>
      <c r="G472" s="15"/>
      <c r="H472" s="19"/>
      <c r="I472" s="19"/>
      <c r="J472" s="15"/>
      <c r="K472" s="15"/>
      <c r="L472" s="15"/>
      <c r="M472" s="15"/>
    </row>
    <row r="473" spans="2:13" ht="14">
      <c r="B473" s="15"/>
      <c r="C473" s="15"/>
      <c r="D473" s="15"/>
      <c r="E473" s="15"/>
      <c r="F473" s="15"/>
      <c r="G473" s="15"/>
      <c r="H473" s="19"/>
      <c r="I473" s="19"/>
      <c r="J473" s="15"/>
      <c r="K473" s="15"/>
      <c r="L473" s="15"/>
      <c r="M473" s="15"/>
    </row>
    <row r="474" spans="2:13" ht="14">
      <c r="B474" s="15"/>
      <c r="C474" s="15"/>
      <c r="D474" s="15"/>
      <c r="E474" s="15"/>
      <c r="F474" s="15"/>
      <c r="G474" s="15"/>
      <c r="H474" s="19"/>
      <c r="I474" s="19"/>
      <c r="J474" s="15"/>
      <c r="K474" s="15"/>
      <c r="L474" s="15"/>
      <c r="M474" s="15"/>
    </row>
    <row r="475" spans="2:13" ht="14">
      <c r="B475" s="15"/>
      <c r="C475" s="15"/>
      <c r="D475" s="15"/>
      <c r="E475" s="15"/>
      <c r="F475" s="15"/>
      <c r="G475" s="15"/>
      <c r="H475" s="19"/>
      <c r="I475" s="19"/>
      <c r="J475" s="15"/>
      <c r="K475" s="15"/>
      <c r="L475" s="15"/>
      <c r="M475" s="15"/>
    </row>
    <row r="476" spans="2:13" ht="14">
      <c r="B476" s="15"/>
      <c r="C476" s="15"/>
      <c r="D476" s="15"/>
      <c r="E476" s="15"/>
      <c r="F476" s="15"/>
      <c r="G476" s="15"/>
      <c r="H476" s="19"/>
      <c r="I476" s="19"/>
      <c r="J476" s="15"/>
      <c r="K476" s="15"/>
      <c r="L476" s="15"/>
      <c r="M476" s="15"/>
    </row>
    <row r="477" spans="2:13" ht="14">
      <c r="B477" s="15"/>
      <c r="C477" s="15"/>
      <c r="D477" s="15"/>
      <c r="E477" s="15"/>
      <c r="F477" s="15"/>
      <c r="G477" s="15"/>
      <c r="H477" s="19"/>
      <c r="I477" s="19"/>
      <c r="J477" s="15"/>
      <c r="K477" s="15"/>
      <c r="L477" s="15"/>
      <c r="M477" s="15"/>
    </row>
    <row r="478" spans="2:13" ht="14">
      <c r="B478" s="15"/>
      <c r="C478" s="15"/>
      <c r="D478" s="15"/>
      <c r="E478" s="15"/>
      <c r="F478" s="15"/>
      <c r="G478" s="15"/>
      <c r="H478" s="19"/>
      <c r="I478" s="19"/>
      <c r="J478" s="15"/>
      <c r="K478" s="15"/>
      <c r="L478" s="15"/>
      <c r="M478" s="15"/>
    </row>
    <row r="479" spans="2:13" ht="14">
      <c r="B479" s="15"/>
      <c r="C479" s="15"/>
      <c r="D479" s="15"/>
      <c r="E479" s="15"/>
      <c r="F479" s="15"/>
      <c r="G479" s="15"/>
      <c r="H479" s="19"/>
      <c r="I479" s="19"/>
      <c r="J479" s="15"/>
      <c r="K479" s="15"/>
      <c r="L479" s="15"/>
      <c r="M479" s="15"/>
    </row>
    <row r="480" spans="2:13" ht="14">
      <c r="B480" s="15"/>
      <c r="C480" s="15"/>
      <c r="D480" s="15"/>
      <c r="E480" s="15"/>
      <c r="F480" s="15"/>
      <c r="G480" s="15"/>
      <c r="H480" s="19"/>
      <c r="I480" s="19"/>
      <c r="J480" s="15"/>
      <c r="K480" s="15"/>
      <c r="L480" s="15"/>
      <c r="M480" s="15"/>
    </row>
    <row r="481" spans="2:13" ht="14">
      <c r="B481" s="15"/>
      <c r="C481" s="15"/>
      <c r="D481" s="15"/>
      <c r="E481" s="15"/>
      <c r="F481" s="15"/>
      <c r="G481" s="15"/>
      <c r="H481" s="19"/>
      <c r="I481" s="19"/>
      <c r="J481" s="15"/>
      <c r="K481" s="15"/>
      <c r="L481" s="15"/>
      <c r="M481" s="15"/>
    </row>
    <row r="482" spans="2:13" ht="14">
      <c r="B482" s="15"/>
      <c r="C482" s="15"/>
      <c r="D482" s="15"/>
      <c r="E482" s="15"/>
      <c r="F482" s="15"/>
      <c r="G482" s="15"/>
      <c r="H482" s="19"/>
      <c r="I482" s="19"/>
      <c r="J482" s="15"/>
      <c r="K482" s="15"/>
      <c r="L482" s="15"/>
      <c r="M482" s="15"/>
    </row>
    <row r="483" spans="2:13" ht="14">
      <c r="B483" s="15"/>
      <c r="C483" s="15"/>
      <c r="D483" s="15"/>
      <c r="E483" s="15"/>
      <c r="F483" s="15"/>
      <c r="G483" s="15"/>
      <c r="H483" s="19"/>
      <c r="I483" s="19"/>
      <c r="J483" s="15"/>
      <c r="K483" s="15"/>
      <c r="L483" s="15"/>
      <c r="M483" s="15"/>
    </row>
    <row r="484" spans="2:13" ht="14">
      <c r="B484" s="15"/>
      <c r="C484" s="15"/>
      <c r="D484" s="15"/>
      <c r="E484" s="15"/>
      <c r="F484" s="15"/>
      <c r="G484" s="15"/>
      <c r="H484" s="19"/>
      <c r="I484" s="19"/>
      <c r="J484" s="15"/>
      <c r="K484" s="15"/>
      <c r="L484" s="15"/>
      <c r="M484" s="15"/>
    </row>
    <row r="485" spans="2:13" ht="14">
      <c r="B485" s="15"/>
      <c r="C485" s="15"/>
      <c r="D485" s="15"/>
      <c r="E485" s="15"/>
      <c r="F485" s="15"/>
      <c r="G485" s="15"/>
      <c r="H485" s="19"/>
      <c r="I485" s="19"/>
      <c r="J485" s="15"/>
      <c r="K485" s="15"/>
      <c r="L485" s="15"/>
      <c r="M485" s="15"/>
    </row>
    <row r="486" spans="2:13" ht="14">
      <c r="B486" s="15"/>
      <c r="C486" s="15"/>
      <c r="D486" s="15"/>
      <c r="E486" s="15"/>
      <c r="F486" s="15"/>
      <c r="G486" s="15"/>
      <c r="H486" s="19"/>
      <c r="I486" s="19"/>
      <c r="J486" s="15"/>
      <c r="K486" s="15"/>
      <c r="L486" s="15"/>
      <c r="M486" s="15"/>
    </row>
    <row r="487" spans="2:13" ht="14">
      <c r="B487" s="15"/>
      <c r="C487" s="15"/>
      <c r="D487" s="15"/>
      <c r="E487" s="15"/>
      <c r="F487" s="15"/>
      <c r="G487" s="15"/>
      <c r="H487" s="19"/>
      <c r="I487" s="19"/>
      <c r="J487" s="15"/>
      <c r="K487" s="15"/>
      <c r="L487" s="15"/>
      <c r="M487" s="15"/>
    </row>
    <row r="488" spans="2:13" ht="14">
      <c r="B488" s="15"/>
      <c r="C488" s="15"/>
      <c r="D488" s="15"/>
      <c r="E488" s="15"/>
      <c r="F488" s="15"/>
      <c r="G488" s="15"/>
      <c r="H488" s="19"/>
      <c r="I488" s="19"/>
      <c r="J488" s="15"/>
      <c r="K488" s="15"/>
      <c r="L488" s="15"/>
      <c r="M488" s="15"/>
    </row>
    <row r="489" spans="2:13" ht="14">
      <c r="B489" s="15"/>
      <c r="C489" s="15"/>
      <c r="D489" s="15"/>
      <c r="E489" s="15"/>
      <c r="F489" s="15"/>
      <c r="G489" s="15"/>
      <c r="H489" s="19"/>
      <c r="I489" s="19"/>
      <c r="J489" s="15"/>
      <c r="K489" s="15"/>
      <c r="L489" s="15"/>
      <c r="M489" s="15"/>
    </row>
    <row r="490" spans="2:13" ht="14">
      <c r="B490" s="15"/>
      <c r="C490" s="15"/>
      <c r="D490" s="15"/>
      <c r="E490" s="15"/>
      <c r="F490" s="15"/>
      <c r="G490" s="15"/>
      <c r="H490" s="19"/>
      <c r="I490" s="19"/>
      <c r="J490" s="15"/>
      <c r="K490" s="15"/>
      <c r="L490" s="15"/>
      <c r="M490" s="15"/>
    </row>
    <row r="491" spans="2:13" ht="14">
      <c r="B491" s="15"/>
      <c r="C491" s="15"/>
      <c r="D491" s="15"/>
      <c r="E491" s="15"/>
      <c r="F491" s="15"/>
      <c r="G491" s="15"/>
      <c r="H491" s="19"/>
      <c r="I491" s="19"/>
      <c r="J491" s="15"/>
      <c r="K491" s="15"/>
      <c r="L491" s="15"/>
      <c r="M491" s="15"/>
    </row>
    <row r="492" spans="2:13" ht="14">
      <c r="B492" s="15"/>
      <c r="C492" s="15"/>
      <c r="D492" s="15"/>
      <c r="E492" s="15"/>
      <c r="F492" s="15"/>
      <c r="G492" s="15"/>
      <c r="H492" s="19"/>
      <c r="I492" s="19"/>
      <c r="J492" s="15"/>
      <c r="K492" s="15"/>
      <c r="L492" s="15"/>
      <c r="M492" s="15"/>
    </row>
    <row r="493" spans="2:13" ht="14">
      <c r="B493" s="15"/>
      <c r="C493" s="15"/>
      <c r="D493" s="15"/>
      <c r="E493" s="15"/>
      <c r="F493" s="15"/>
      <c r="G493" s="15"/>
      <c r="H493" s="19"/>
      <c r="I493" s="19"/>
      <c r="J493" s="15"/>
      <c r="K493" s="15"/>
      <c r="L493" s="15"/>
      <c r="M493" s="15"/>
    </row>
    <row r="494" spans="2:13" ht="14">
      <c r="B494" s="15"/>
      <c r="C494" s="15"/>
      <c r="D494" s="15"/>
      <c r="E494" s="15"/>
      <c r="F494" s="15"/>
      <c r="G494" s="15"/>
      <c r="H494" s="19"/>
      <c r="I494" s="19"/>
      <c r="J494" s="15"/>
      <c r="K494" s="15"/>
      <c r="L494" s="15"/>
      <c r="M494" s="15"/>
    </row>
    <row r="495" spans="2:13" ht="14">
      <c r="B495" s="15"/>
      <c r="C495" s="15"/>
      <c r="D495" s="15"/>
      <c r="E495" s="15"/>
      <c r="F495" s="15"/>
      <c r="G495" s="15"/>
      <c r="H495" s="19"/>
      <c r="I495" s="19"/>
      <c r="J495" s="15"/>
      <c r="K495" s="15"/>
      <c r="L495" s="15"/>
      <c r="M495" s="15"/>
    </row>
    <row r="496" spans="2:13" ht="14">
      <c r="B496" s="15"/>
      <c r="C496" s="15"/>
      <c r="D496" s="15"/>
      <c r="E496" s="15"/>
      <c r="F496" s="15"/>
      <c r="G496" s="15"/>
      <c r="H496" s="19"/>
      <c r="I496" s="19"/>
      <c r="J496" s="15"/>
      <c r="K496" s="15"/>
      <c r="L496" s="15"/>
      <c r="M496" s="15"/>
    </row>
    <row r="497" spans="2:13" ht="14">
      <c r="B497" s="15"/>
      <c r="C497" s="15"/>
      <c r="D497" s="15"/>
      <c r="E497" s="15"/>
      <c r="F497" s="15"/>
      <c r="G497" s="15"/>
      <c r="H497" s="19"/>
      <c r="I497" s="19"/>
      <c r="J497" s="15"/>
      <c r="K497" s="15"/>
      <c r="L497" s="15"/>
      <c r="M497" s="15"/>
    </row>
    <row r="498" spans="2:13" ht="14">
      <c r="B498" s="15"/>
      <c r="C498" s="15"/>
      <c r="D498" s="15"/>
      <c r="E498" s="15"/>
      <c r="F498" s="15"/>
      <c r="G498" s="15"/>
      <c r="H498" s="19"/>
      <c r="I498" s="19"/>
      <c r="J498" s="15"/>
      <c r="K498" s="15"/>
      <c r="L498" s="15"/>
      <c r="M498" s="15"/>
    </row>
    <row r="499" spans="2:13" ht="14">
      <c r="B499" s="15"/>
      <c r="C499" s="15"/>
      <c r="D499" s="15"/>
      <c r="E499" s="15"/>
      <c r="F499" s="15"/>
      <c r="G499" s="15"/>
      <c r="H499" s="19"/>
      <c r="I499" s="19"/>
      <c r="J499" s="15"/>
      <c r="K499" s="15"/>
      <c r="L499" s="15"/>
      <c r="M499" s="15"/>
    </row>
    <row r="500" spans="2:13" ht="14">
      <c r="B500" s="15"/>
      <c r="C500" s="15"/>
      <c r="D500" s="15"/>
      <c r="E500" s="15"/>
      <c r="F500" s="15"/>
      <c r="G500" s="15"/>
      <c r="H500" s="19"/>
      <c r="I500" s="19"/>
      <c r="J500" s="15"/>
      <c r="K500" s="15"/>
      <c r="L500" s="15"/>
      <c r="M500" s="15"/>
    </row>
    <row r="501" spans="2:13" ht="14">
      <c r="B501" s="15"/>
      <c r="C501" s="15"/>
      <c r="D501" s="15"/>
      <c r="E501" s="15"/>
      <c r="F501" s="15"/>
      <c r="G501" s="15"/>
      <c r="H501" s="19"/>
      <c r="I501" s="19"/>
      <c r="J501" s="15"/>
      <c r="K501" s="15"/>
      <c r="L501" s="15"/>
      <c r="M501" s="15"/>
    </row>
    <row r="502" spans="2:13" ht="14">
      <c r="B502" s="15"/>
      <c r="C502" s="15"/>
      <c r="D502" s="15"/>
      <c r="E502" s="15"/>
      <c r="F502" s="15"/>
      <c r="G502" s="15"/>
      <c r="H502" s="19"/>
      <c r="I502" s="19"/>
      <c r="J502" s="15"/>
      <c r="K502" s="15"/>
      <c r="L502" s="15"/>
      <c r="M502" s="15"/>
    </row>
    <row r="503" spans="2:13" ht="14">
      <c r="B503" s="15"/>
      <c r="C503" s="15"/>
      <c r="D503" s="15"/>
      <c r="E503" s="15"/>
      <c r="F503" s="15"/>
      <c r="G503" s="15"/>
      <c r="H503" s="19"/>
      <c r="I503" s="19"/>
      <c r="J503" s="15"/>
      <c r="K503" s="15"/>
      <c r="L503" s="15"/>
      <c r="M503" s="15"/>
    </row>
    <row r="504" spans="2:13" ht="14">
      <c r="B504" s="15"/>
      <c r="C504" s="15"/>
      <c r="D504" s="15"/>
      <c r="E504" s="15"/>
      <c r="F504" s="15"/>
      <c r="G504" s="15"/>
      <c r="H504" s="19"/>
      <c r="I504" s="19"/>
      <c r="J504" s="15"/>
      <c r="K504" s="15"/>
      <c r="L504" s="15"/>
      <c r="M504" s="15"/>
    </row>
    <row r="505" spans="2:13" ht="14">
      <c r="B505" s="15"/>
      <c r="C505" s="15"/>
      <c r="D505" s="15"/>
      <c r="E505" s="15"/>
      <c r="F505" s="15"/>
      <c r="G505" s="15"/>
      <c r="H505" s="19"/>
      <c r="I505" s="19"/>
      <c r="J505" s="15"/>
      <c r="K505" s="15"/>
      <c r="L505" s="15"/>
      <c r="M505" s="15"/>
    </row>
    <row r="506" spans="2:13" ht="14">
      <c r="B506" s="15"/>
      <c r="C506" s="15"/>
      <c r="D506" s="15"/>
      <c r="E506" s="15"/>
      <c r="F506" s="15"/>
      <c r="G506" s="15"/>
      <c r="H506" s="19"/>
      <c r="I506" s="19"/>
      <c r="J506" s="15"/>
      <c r="K506" s="15"/>
      <c r="L506" s="15"/>
      <c r="M506" s="15"/>
    </row>
    <row r="507" spans="2:13" ht="14">
      <c r="B507" s="15"/>
      <c r="C507" s="15"/>
      <c r="D507" s="15"/>
      <c r="E507" s="15"/>
      <c r="F507" s="15"/>
      <c r="G507" s="15"/>
      <c r="H507" s="19"/>
      <c r="I507" s="19"/>
      <c r="J507" s="15"/>
      <c r="K507" s="15"/>
      <c r="L507" s="15"/>
      <c r="M507" s="15"/>
    </row>
    <row r="508" spans="2:13" ht="14">
      <c r="B508" s="15"/>
      <c r="C508" s="15"/>
      <c r="D508" s="15"/>
      <c r="E508" s="15"/>
      <c r="F508" s="15"/>
      <c r="G508" s="15"/>
      <c r="H508" s="19"/>
      <c r="I508" s="19"/>
      <c r="J508" s="15"/>
      <c r="K508" s="15"/>
      <c r="L508" s="15"/>
      <c r="M508" s="15"/>
    </row>
    <row r="509" spans="2:13" ht="14">
      <c r="B509" s="15"/>
      <c r="C509" s="15"/>
      <c r="D509" s="15"/>
      <c r="E509" s="15"/>
      <c r="F509" s="15"/>
      <c r="G509" s="15"/>
      <c r="H509" s="19"/>
      <c r="I509" s="19"/>
      <c r="J509" s="15"/>
      <c r="K509" s="15"/>
      <c r="L509" s="15"/>
      <c r="M509" s="15"/>
    </row>
    <row r="510" spans="2:13" ht="14">
      <c r="B510" s="15"/>
      <c r="C510" s="15"/>
      <c r="D510" s="15"/>
      <c r="E510" s="15"/>
      <c r="F510" s="15"/>
      <c r="G510" s="15"/>
      <c r="H510" s="19"/>
      <c r="I510" s="19"/>
      <c r="J510" s="15"/>
      <c r="K510" s="15"/>
      <c r="L510" s="15"/>
      <c r="M510" s="15"/>
    </row>
    <row r="511" spans="2:13" ht="14">
      <c r="B511" s="15"/>
      <c r="C511" s="15"/>
      <c r="D511" s="15"/>
      <c r="E511" s="15"/>
      <c r="F511" s="15"/>
      <c r="G511" s="15"/>
      <c r="H511" s="19"/>
      <c r="I511" s="19"/>
      <c r="J511" s="15"/>
      <c r="K511" s="15"/>
      <c r="L511" s="15"/>
      <c r="M511" s="15"/>
    </row>
    <row r="512" spans="2:13" ht="14">
      <c r="B512" s="15"/>
      <c r="C512" s="15"/>
      <c r="D512" s="15"/>
      <c r="E512" s="15"/>
      <c r="F512" s="15"/>
      <c r="G512" s="15"/>
      <c r="H512" s="19"/>
      <c r="I512" s="19"/>
      <c r="J512" s="15"/>
      <c r="K512" s="15"/>
      <c r="L512" s="15"/>
      <c r="M512" s="15"/>
    </row>
    <row r="513" spans="2:13" ht="14">
      <c r="B513" s="15"/>
      <c r="C513" s="15"/>
      <c r="D513" s="15"/>
      <c r="E513" s="15"/>
      <c r="F513" s="15"/>
      <c r="G513" s="15"/>
      <c r="H513" s="19"/>
      <c r="I513" s="19"/>
      <c r="J513" s="15"/>
      <c r="K513" s="15"/>
      <c r="L513" s="15"/>
      <c r="M513" s="15"/>
    </row>
    <row r="514" spans="2:13" ht="14">
      <c r="B514" s="15"/>
      <c r="C514" s="15"/>
      <c r="D514" s="15"/>
      <c r="E514" s="15"/>
      <c r="F514" s="15"/>
      <c r="G514" s="15"/>
      <c r="H514" s="19"/>
      <c r="I514" s="19"/>
      <c r="J514" s="15"/>
      <c r="K514" s="15"/>
      <c r="L514" s="15"/>
      <c r="M514" s="15"/>
    </row>
    <row r="515" spans="2:13" ht="14">
      <c r="B515" s="15"/>
      <c r="C515" s="15"/>
      <c r="D515" s="15"/>
      <c r="E515" s="15"/>
      <c r="F515" s="15"/>
      <c r="G515" s="15"/>
      <c r="H515" s="19"/>
      <c r="I515" s="19"/>
      <c r="J515" s="15"/>
      <c r="K515" s="15"/>
      <c r="L515" s="15"/>
      <c r="M515" s="15"/>
    </row>
    <row r="516" spans="2:13" ht="14">
      <c r="B516" s="15"/>
      <c r="C516" s="15"/>
      <c r="D516" s="15"/>
      <c r="E516" s="15"/>
      <c r="F516" s="15"/>
      <c r="G516" s="15"/>
      <c r="H516" s="19"/>
      <c r="I516" s="19"/>
      <c r="J516" s="15"/>
      <c r="K516" s="15"/>
      <c r="L516" s="15"/>
      <c r="M516" s="15"/>
    </row>
    <row r="517" spans="2:13" ht="14">
      <c r="B517" s="15"/>
      <c r="C517" s="15"/>
      <c r="D517" s="15"/>
      <c r="E517" s="15"/>
      <c r="F517" s="15"/>
      <c r="G517" s="15"/>
      <c r="H517" s="19"/>
      <c r="I517" s="19"/>
      <c r="J517" s="15"/>
      <c r="K517" s="15"/>
      <c r="L517" s="15"/>
      <c r="M517" s="15"/>
    </row>
    <row r="518" spans="2:13" ht="14">
      <c r="B518" s="15"/>
      <c r="C518" s="15"/>
      <c r="D518" s="15"/>
      <c r="E518" s="15"/>
      <c r="F518" s="15"/>
      <c r="G518" s="15"/>
      <c r="H518" s="19"/>
      <c r="I518" s="19"/>
      <c r="J518" s="15"/>
      <c r="K518" s="15"/>
      <c r="L518" s="15"/>
      <c r="M518" s="15"/>
    </row>
    <row r="519" spans="2:13" ht="14">
      <c r="B519" s="15"/>
      <c r="C519" s="15"/>
      <c r="D519" s="15"/>
      <c r="E519" s="15"/>
      <c r="F519" s="15"/>
      <c r="G519" s="15"/>
      <c r="H519" s="19"/>
      <c r="I519" s="19"/>
      <c r="J519" s="15"/>
      <c r="K519" s="15"/>
      <c r="L519" s="15"/>
      <c r="M519" s="15"/>
    </row>
    <row r="520" spans="2:13" ht="14">
      <c r="B520" s="15"/>
      <c r="C520" s="15"/>
      <c r="D520" s="15"/>
      <c r="E520" s="15"/>
      <c r="F520" s="15"/>
      <c r="G520" s="15"/>
      <c r="H520" s="19"/>
      <c r="I520" s="19"/>
      <c r="J520" s="15"/>
      <c r="K520" s="15"/>
      <c r="L520" s="15"/>
      <c r="M520" s="15"/>
    </row>
    <row r="521" spans="2:13" ht="14">
      <c r="B521" s="15"/>
      <c r="C521" s="15"/>
      <c r="D521" s="15"/>
      <c r="E521" s="15"/>
      <c r="F521" s="15"/>
      <c r="G521" s="15"/>
      <c r="H521" s="19"/>
      <c r="I521" s="19"/>
      <c r="J521" s="15"/>
      <c r="K521" s="15"/>
      <c r="L521" s="15"/>
      <c r="M521" s="15"/>
    </row>
    <row r="522" spans="2:13" ht="14">
      <c r="B522" s="15"/>
      <c r="C522" s="15"/>
      <c r="D522" s="15"/>
      <c r="E522" s="15"/>
      <c r="F522" s="15"/>
      <c r="G522" s="15"/>
      <c r="H522" s="19"/>
      <c r="I522" s="19"/>
      <c r="J522" s="15"/>
      <c r="K522" s="15"/>
      <c r="L522" s="15"/>
      <c r="M522" s="15"/>
    </row>
    <row r="523" spans="2:13" ht="14">
      <c r="B523" s="15"/>
      <c r="C523" s="15"/>
      <c r="D523" s="15"/>
      <c r="E523" s="15"/>
      <c r="F523" s="15"/>
      <c r="G523" s="15"/>
      <c r="H523" s="19"/>
      <c r="I523" s="19"/>
      <c r="J523" s="15"/>
      <c r="K523" s="15"/>
      <c r="L523" s="15"/>
      <c r="M523" s="15"/>
    </row>
    <row r="524" spans="2:13" ht="14">
      <c r="B524" s="15"/>
      <c r="C524" s="15"/>
      <c r="D524" s="15"/>
      <c r="E524" s="15"/>
      <c r="F524" s="15"/>
      <c r="G524" s="15"/>
      <c r="H524" s="19"/>
      <c r="I524" s="19"/>
      <c r="J524" s="15"/>
      <c r="K524" s="15"/>
      <c r="L524" s="15"/>
      <c r="M524" s="15"/>
    </row>
    <row r="525" spans="2:13" ht="14">
      <c r="B525" s="15"/>
      <c r="C525" s="15"/>
      <c r="D525" s="15"/>
      <c r="E525" s="15"/>
      <c r="F525" s="15"/>
      <c r="G525" s="15"/>
      <c r="H525" s="19"/>
      <c r="I525" s="19"/>
      <c r="J525" s="15"/>
      <c r="K525" s="15"/>
      <c r="L525" s="15"/>
      <c r="M525" s="15"/>
    </row>
    <row r="526" spans="2:13" ht="14">
      <c r="B526" s="15"/>
      <c r="C526" s="15"/>
      <c r="D526" s="15"/>
      <c r="E526" s="15"/>
      <c r="F526" s="15"/>
      <c r="G526" s="15"/>
      <c r="H526" s="19"/>
      <c r="I526" s="19"/>
      <c r="J526" s="15"/>
      <c r="K526" s="15"/>
      <c r="L526" s="15"/>
      <c r="M526" s="15"/>
    </row>
    <row r="527" spans="2:13" ht="14">
      <c r="B527" s="15"/>
      <c r="C527" s="15"/>
      <c r="D527" s="15"/>
      <c r="E527" s="15"/>
      <c r="F527" s="15"/>
      <c r="G527" s="15"/>
      <c r="H527" s="19"/>
      <c r="I527" s="19"/>
      <c r="J527" s="15"/>
      <c r="K527" s="15"/>
      <c r="L527" s="15"/>
      <c r="M527" s="15"/>
    </row>
    <row r="528" spans="2:13" ht="14">
      <c r="B528" s="15"/>
      <c r="C528" s="15"/>
      <c r="D528" s="15"/>
      <c r="E528" s="15"/>
      <c r="F528" s="15"/>
      <c r="G528" s="15"/>
      <c r="H528" s="19"/>
      <c r="I528" s="19"/>
      <c r="J528" s="15"/>
      <c r="K528" s="15"/>
      <c r="L528" s="15"/>
      <c r="M528" s="15"/>
    </row>
    <row r="529" spans="2:13" ht="14">
      <c r="B529" s="15"/>
      <c r="C529" s="15"/>
      <c r="D529" s="15"/>
      <c r="E529" s="15"/>
      <c r="F529" s="15"/>
      <c r="G529" s="15"/>
      <c r="H529" s="19"/>
      <c r="I529" s="19"/>
      <c r="J529" s="15"/>
      <c r="K529" s="15"/>
      <c r="L529" s="15"/>
      <c r="M529" s="15"/>
    </row>
    <row r="530" spans="2:13" ht="14">
      <c r="B530" s="15"/>
      <c r="C530" s="15"/>
      <c r="D530" s="15"/>
      <c r="E530" s="15"/>
      <c r="F530" s="15"/>
      <c r="G530" s="15"/>
      <c r="H530" s="19"/>
      <c r="I530" s="19"/>
      <c r="J530" s="15"/>
      <c r="K530" s="15"/>
      <c r="L530" s="15"/>
      <c r="M530" s="15"/>
    </row>
    <row r="531" spans="2:13" ht="14">
      <c r="B531" s="15"/>
      <c r="C531" s="15"/>
      <c r="D531" s="15"/>
      <c r="E531" s="15"/>
      <c r="F531" s="15"/>
      <c r="G531" s="15"/>
      <c r="H531" s="19"/>
      <c r="I531" s="19"/>
      <c r="J531" s="15"/>
      <c r="K531" s="15"/>
      <c r="L531" s="15"/>
      <c r="M531" s="15"/>
    </row>
    <row r="532" spans="2:13" ht="14">
      <c r="B532" s="15"/>
      <c r="C532" s="15"/>
      <c r="D532" s="15"/>
      <c r="E532" s="15"/>
      <c r="F532" s="15"/>
      <c r="G532" s="15"/>
      <c r="H532" s="19"/>
      <c r="I532" s="19"/>
      <c r="J532" s="15"/>
      <c r="K532" s="15"/>
      <c r="L532" s="15"/>
      <c r="M532" s="15"/>
    </row>
    <row r="533" spans="2:13" ht="14">
      <c r="B533" s="15"/>
      <c r="C533" s="15"/>
      <c r="D533" s="15"/>
      <c r="E533" s="15"/>
      <c r="F533" s="15"/>
      <c r="G533" s="15"/>
      <c r="H533" s="19"/>
      <c r="I533" s="19"/>
      <c r="J533" s="15"/>
      <c r="K533" s="15"/>
      <c r="L533" s="15"/>
      <c r="M533" s="15"/>
    </row>
    <row r="534" spans="2:13" ht="14">
      <c r="B534" s="15"/>
      <c r="C534" s="15"/>
      <c r="D534" s="15"/>
      <c r="E534" s="15"/>
      <c r="F534" s="15"/>
      <c r="G534" s="15"/>
      <c r="H534" s="19"/>
      <c r="I534" s="19"/>
      <c r="J534" s="15"/>
      <c r="K534" s="15"/>
      <c r="L534" s="15"/>
      <c r="M534" s="15"/>
    </row>
    <row r="535" spans="2:13" ht="14">
      <c r="B535" s="15"/>
      <c r="C535" s="15"/>
      <c r="D535" s="15"/>
      <c r="E535" s="15"/>
      <c r="F535" s="15"/>
      <c r="G535" s="15"/>
      <c r="H535" s="19"/>
      <c r="I535" s="19"/>
      <c r="J535" s="15"/>
      <c r="K535" s="15"/>
      <c r="L535" s="15"/>
      <c r="M535" s="15"/>
    </row>
    <row r="536" spans="2:13" ht="14">
      <c r="B536" s="15"/>
      <c r="C536" s="15"/>
      <c r="D536" s="15"/>
      <c r="E536" s="15"/>
      <c r="F536" s="15"/>
      <c r="G536" s="15"/>
      <c r="H536" s="19"/>
      <c r="I536" s="19"/>
      <c r="J536" s="15"/>
      <c r="K536" s="15"/>
      <c r="L536" s="15"/>
      <c r="M536" s="15"/>
    </row>
    <row r="537" spans="2:13" ht="14">
      <c r="B537" s="15"/>
      <c r="C537" s="15"/>
      <c r="D537" s="15"/>
      <c r="E537" s="15"/>
      <c r="F537" s="15"/>
      <c r="G537" s="15"/>
      <c r="H537" s="19"/>
      <c r="I537" s="19"/>
      <c r="J537" s="15"/>
      <c r="K537" s="15"/>
      <c r="L537" s="15"/>
      <c r="M537" s="15"/>
    </row>
    <row r="538" spans="2:13" ht="14">
      <c r="B538" s="15"/>
      <c r="C538" s="15"/>
      <c r="D538" s="15"/>
      <c r="E538" s="15"/>
      <c r="F538" s="15"/>
      <c r="G538" s="15"/>
      <c r="H538" s="19"/>
      <c r="I538" s="19"/>
      <c r="J538" s="15"/>
      <c r="K538" s="15"/>
      <c r="L538" s="15"/>
      <c r="M538" s="15"/>
    </row>
    <row r="539" spans="2:13" ht="14">
      <c r="B539" s="15"/>
      <c r="C539" s="15"/>
      <c r="D539" s="15"/>
      <c r="E539" s="15"/>
      <c r="F539" s="15"/>
      <c r="G539" s="15"/>
      <c r="H539" s="19"/>
      <c r="I539" s="19"/>
      <c r="J539" s="15"/>
      <c r="K539" s="15"/>
      <c r="L539" s="15"/>
      <c r="M539" s="15"/>
    </row>
    <row r="540" spans="2:13" ht="14">
      <c r="B540" s="15"/>
      <c r="C540" s="15"/>
      <c r="D540" s="15"/>
      <c r="E540" s="15"/>
      <c r="F540" s="15"/>
      <c r="G540" s="15"/>
      <c r="H540" s="19"/>
      <c r="I540" s="19"/>
      <c r="J540" s="15"/>
      <c r="K540" s="15"/>
      <c r="L540" s="15"/>
      <c r="M540" s="15"/>
    </row>
    <row r="541" spans="2:13" ht="14">
      <c r="B541" s="15"/>
      <c r="C541" s="15"/>
      <c r="D541" s="15"/>
      <c r="E541" s="15"/>
      <c r="F541" s="15"/>
      <c r="G541" s="15"/>
      <c r="H541" s="19"/>
      <c r="I541" s="19"/>
      <c r="J541" s="15"/>
      <c r="K541" s="15"/>
      <c r="L541" s="15"/>
      <c r="M541" s="15"/>
    </row>
    <row r="542" spans="2:13" ht="14">
      <c r="B542" s="15"/>
      <c r="C542" s="15"/>
      <c r="D542" s="15"/>
      <c r="E542" s="15"/>
      <c r="F542" s="15"/>
      <c r="G542" s="15"/>
      <c r="H542" s="19"/>
      <c r="I542" s="19"/>
      <c r="J542" s="15"/>
      <c r="K542" s="15"/>
      <c r="L542" s="15"/>
      <c r="M542" s="15"/>
    </row>
    <row r="543" spans="2:13" ht="14">
      <c r="B543" s="15"/>
      <c r="C543" s="15"/>
      <c r="D543" s="15"/>
      <c r="E543" s="15"/>
      <c r="F543" s="15"/>
      <c r="G543" s="15"/>
      <c r="H543" s="19"/>
      <c r="I543" s="19"/>
      <c r="J543" s="15"/>
      <c r="K543" s="15"/>
      <c r="L543" s="15"/>
      <c r="M543" s="15"/>
    </row>
    <row r="544" spans="2:13" ht="14">
      <c r="B544" s="15"/>
      <c r="C544" s="15"/>
      <c r="D544" s="15"/>
      <c r="E544" s="15"/>
      <c r="F544" s="15"/>
      <c r="G544" s="15"/>
      <c r="H544" s="19"/>
      <c r="I544" s="19"/>
      <c r="J544" s="15"/>
      <c r="K544" s="15"/>
      <c r="L544" s="15"/>
      <c r="M544" s="15"/>
    </row>
    <row r="545" spans="2:13" ht="14">
      <c r="B545" s="15"/>
      <c r="C545" s="15"/>
      <c r="D545" s="15"/>
      <c r="E545" s="15"/>
      <c r="F545" s="15"/>
      <c r="G545" s="15"/>
      <c r="H545" s="19"/>
      <c r="I545" s="19"/>
      <c r="J545" s="15"/>
      <c r="K545" s="15"/>
      <c r="L545" s="15"/>
      <c r="M545" s="15"/>
    </row>
    <row r="546" spans="2:13" ht="14">
      <c r="B546" s="15"/>
      <c r="C546" s="15"/>
      <c r="D546" s="15"/>
      <c r="E546" s="15"/>
      <c r="F546" s="15"/>
      <c r="G546" s="15"/>
      <c r="H546" s="19"/>
      <c r="I546" s="19"/>
      <c r="J546" s="15"/>
      <c r="K546" s="15"/>
      <c r="L546" s="15"/>
      <c r="M546" s="15"/>
    </row>
    <row r="547" spans="2:13" ht="14">
      <c r="B547" s="15"/>
      <c r="C547" s="15"/>
      <c r="D547" s="15"/>
      <c r="E547" s="15"/>
      <c r="F547" s="15"/>
      <c r="G547" s="15"/>
      <c r="H547" s="19"/>
      <c r="I547" s="19"/>
      <c r="J547" s="15"/>
      <c r="K547" s="15"/>
      <c r="L547" s="15"/>
      <c r="M547" s="15"/>
    </row>
    <row r="548" spans="2:13" ht="14">
      <c r="B548" s="15"/>
      <c r="C548" s="15"/>
      <c r="D548" s="15"/>
      <c r="E548" s="15"/>
      <c r="F548" s="15"/>
      <c r="G548" s="15"/>
      <c r="H548" s="19"/>
      <c r="I548" s="19"/>
      <c r="J548" s="15"/>
      <c r="K548" s="15"/>
      <c r="L548" s="15"/>
      <c r="M548" s="15"/>
    </row>
    <row r="549" spans="2:13" ht="14">
      <c r="B549" s="15"/>
      <c r="C549" s="15"/>
      <c r="D549" s="15"/>
      <c r="E549" s="15"/>
      <c r="F549" s="15"/>
      <c r="G549" s="15"/>
      <c r="H549" s="19"/>
      <c r="I549" s="19"/>
      <c r="J549" s="15"/>
      <c r="K549" s="15"/>
      <c r="L549" s="15"/>
      <c r="M549" s="15"/>
    </row>
    <row r="550" spans="2:13" ht="14">
      <c r="B550" s="15"/>
      <c r="C550" s="15"/>
      <c r="D550" s="15"/>
      <c r="E550" s="15"/>
      <c r="F550" s="15"/>
      <c r="G550" s="15"/>
      <c r="H550" s="19"/>
      <c r="I550" s="19"/>
      <c r="J550" s="15"/>
      <c r="K550" s="15"/>
      <c r="L550" s="15"/>
      <c r="M550" s="15"/>
    </row>
    <row r="551" spans="2:13" ht="14">
      <c r="B551" s="15"/>
      <c r="C551" s="15"/>
      <c r="D551" s="15"/>
      <c r="E551" s="15"/>
      <c r="F551" s="15"/>
      <c r="G551" s="15"/>
      <c r="H551" s="19"/>
      <c r="I551" s="19"/>
      <c r="J551" s="15"/>
      <c r="K551" s="15"/>
      <c r="L551" s="15"/>
      <c r="M551" s="15"/>
    </row>
    <row r="552" spans="2:13" ht="14">
      <c r="B552" s="15"/>
      <c r="C552" s="15"/>
      <c r="D552" s="15"/>
      <c r="E552" s="15"/>
      <c r="F552" s="15"/>
      <c r="G552" s="15"/>
      <c r="H552" s="19"/>
      <c r="I552" s="19"/>
      <c r="J552" s="15"/>
      <c r="K552" s="15"/>
      <c r="L552" s="15"/>
      <c r="M552" s="15"/>
    </row>
    <row r="553" spans="2:13" ht="14">
      <c r="B553" s="15"/>
      <c r="C553" s="15"/>
      <c r="D553" s="15"/>
      <c r="E553" s="15"/>
      <c r="F553" s="15"/>
      <c r="G553" s="15"/>
      <c r="H553" s="19"/>
      <c r="I553" s="19"/>
      <c r="J553" s="15"/>
      <c r="K553" s="15"/>
      <c r="L553" s="15"/>
      <c r="M553" s="15"/>
    </row>
    <row r="554" spans="2:13" ht="14">
      <c r="B554" s="15"/>
      <c r="C554" s="15"/>
      <c r="D554" s="15"/>
      <c r="E554" s="15"/>
      <c r="F554" s="15"/>
      <c r="G554" s="15"/>
      <c r="H554" s="19"/>
      <c r="I554" s="19"/>
      <c r="J554" s="15"/>
      <c r="K554" s="15"/>
      <c r="L554" s="15"/>
      <c r="M554" s="15"/>
    </row>
    <row r="555" spans="2:13" ht="14">
      <c r="B555" s="15"/>
      <c r="C555" s="15"/>
      <c r="D555" s="15"/>
      <c r="E555" s="15"/>
      <c r="F555" s="15"/>
      <c r="G555" s="15"/>
      <c r="H555" s="19"/>
      <c r="I555" s="19"/>
      <c r="J555" s="15"/>
      <c r="K555" s="15"/>
      <c r="L555" s="15"/>
      <c r="M555" s="15"/>
    </row>
    <row r="556" spans="2:13" ht="14">
      <c r="B556" s="15"/>
      <c r="C556" s="15"/>
      <c r="D556" s="15"/>
      <c r="E556" s="15"/>
      <c r="F556" s="15"/>
      <c r="G556" s="15"/>
      <c r="H556" s="19"/>
      <c r="I556" s="19"/>
      <c r="J556" s="15"/>
      <c r="K556" s="15"/>
      <c r="L556" s="15"/>
      <c r="M556" s="15"/>
    </row>
    <row r="557" spans="2:13" ht="14">
      <c r="B557" s="15"/>
      <c r="C557" s="15"/>
      <c r="D557" s="15"/>
      <c r="E557" s="15"/>
      <c r="F557" s="15"/>
      <c r="G557" s="15"/>
      <c r="H557" s="19"/>
      <c r="I557" s="19"/>
      <c r="J557" s="15"/>
      <c r="K557" s="15"/>
      <c r="L557" s="15"/>
      <c r="M557" s="15"/>
    </row>
    <row r="558" spans="2:13" ht="14">
      <c r="B558" s="15"/>
      <c r="C558" s="15"/>
      <c r="D558" s="15"/>
      <c r="E558" s="15"/>
      <c r="F558" s="15"/>
      <c r="G558" s="15"/>
      <c r="H558" s="19"/>
      <c r="I558" s="19"/>
      <c r="J558" s="15"/>
      <c r="K558" s="15"/>
      <c r="L558" s="15"/>
      <c r="M558" s="15"/>
    </row>
    <row r="559" spans="2:13" ht="14">
      <c r="B559" s="15"/>
      <c r="C559" s="15"/>
      <c r="D559" s="15"/>
      <c r="E559" s="15"/>
      <c r="F559" s="15"/>
      <c r="G559" s="15"/>
      <c r="H559" s="19"/>
      <c r="I559" s="19"/>
      <c r="J559" s="15"/>
      <c r="K559" s="15"/>
      <c r="L559" s="15"/>
      <c r="M559" s="15"/>
    </row>
    <row r="560" spans="2:13" ht="14">
      <c r="B560" s="15"/>
      <c r="C560" s="15"/>
      <c r="D560" s="15"/>
      <c r="E560" s="15"/>
      <c r="F560" s="15"/>
      <c r="G560" s="15"/>
      <c r="H560" s="19"/>
      <c r="I560" s="19"/>
      <c r="J560" s="15"/>
      <c r="K560" s="15"/>
      <c r="L560" s="15"/>
      <c r="M560" s="15"/>
    </row>
    <row r="561" spans="2:13" ht="14">
      <c r="B561" s="15"/>
      <c r="C561" s="15"/>
      <c r="D561" s="15"/>
      <c r="E561" s="15"/>
      <c r="F561" s="15"/>
      <c r="G561" s="15"/>
      <c r="H561" s="19"/>
      <c r="I561" s="19"/>
      <c r="J561" s="15"/>
      <c r="K561" s="15"/>
      <c r="L561" s="15"/>
      <c r="M561" s="15"/>
    </row>
    <row r="562" spans="2:13" ht="14">
      <c r="B562" s="15"/>
      <c r="C562" s="15"/>
      <c r="D562" s="15"/>
      <c r="E562" s="15"/>
      <c r="F562" s="15"/>
      <c r="G562" s="15"/>
      <c r="H562" s="19"/>
      <c r="I562" s="19"/>
      <c r="J562" s="15"/>
      <c r="K562" s="15"/>
      <c r="L562" s="15"/>
      <c r="M562" s="15"/>
    </row>
    <row r="563" spans="2:13" ht="14">
      <c r="B563" s="15"/>
      <c r="C563" s="15"/>
      <c r="D563" s="15"/>
      <c r="E563" s="15"/>
      <c r="F563" s="15"/>
      <c r="G563" s="15"/>
      <c r="H563" s="19"/>
      <c r="I563" s="19"/>
      <c r="J563" s="15"/>
      <c r="K563" s="15"/>
      <c r="L563" s="15"/>
      <c r="M563" s="15"/>
    </row>
    <row r="564" spans="2:13" ht="14">
      <c r="B564" s="15"/>
      <c r="C564" s="15"/>
      <c r="D564" s="15"/>
      <c r="E564" s="15"/>
      <c r="F564" s="15"/>
      <c r="G564" s="15"/>
      <c r="H564" s="19"/>
      <c r="I564" s="19"/>
      <c r="J564" s="15"/>
      <c r="K564" s="15"/>
      <c r="L564" s="15"/>
      <c r="M564" s="15"/>
    </row>
    <row r="565" spans="2:13" ht="14">
      <c r="B565" s="15"/>
      <c r="C565" s="15"/>
      <c r="D565" s="15"/>
      <c r="E565" s="15"/>
      <c r="F565" s="15"/>
      <c r="G565" s="15"/>
      <c r="H565" s="19"/>
      <c r="I565" s="19"/>
      <c r="J565" s="15"/>
      <c r="K565" s="15"/>
      <c r="L565" s="15"/>
      <c r="M565" s="15"/>
    </row>
    <row r="566" spans="2:13" ht="14">
      <c r="B566" s="15"/>
      <c r="C566" s="15"/>
      <c r="D566" s="15"/>
      <c r="E566" s="15"/>
      <c r="F566" s="15"/>
      <c r="G566" s="15"/>
      <c r="H566" s="19"/>
      <c r="I566" s="19"/>
      <c r="J566" s="15"/>
      <c r="K566" s="15"/>
      <c r="L566" s="15"/>
      <c r="M566" s="15"/>
    </row>
    <row r="567" spans="2:13" ht="14">
      <c r="B567" s="15"/>
      <c r="C567" s="15"/>
      <c r="D567" s="15"/>
      <c r="E567" s="15"/>
      <c r="F567" s="15"/>
      <c r="G567" s="15"/>
      <c r="H567" s="19"/>
      <c r="I567" s="19"/>
      <c r="J567" s="15"/>
      <c r="K567" s="15"/>
      <c r="L567" s="15"/>
      <c r="M567" s="15"/>
    </row>
    <row r="568" spans="2:13" ht="14">
      <c r="B568" s="15"/>
      <c r="C568" s="15"/>
      <c r="D568" s="15"/>
      <c r="E568" s="15"/>
      <c r="F568" s="15"/>
      <c r="G568" s="15"/>
      <c r="H568" s="19"/>
      <c r="I568" s="19"/>
      <c r="J568" s="15"/>
      <c r="K568" s="15"/>
      <c r="L568" s="15"/>
      <c r="M568" s="15"/>
    </row>
    <row r="569" spans="2:13" ht="14">
      <c r="B569" s="15"/>
      <c r="C569" s="15"/>
      <c r="D569" s="15"/>
      <c r="E569" s="15"/>
      <c r="F569" s="15"/>
      <c r="G569" s="15"/>
      <c r="H569" s="19"/>
      <c r="I569" s="19"/>
      <c r="J569" s="15"/>
      <c r="K569" s="15"/>
      <c r="L569" s="15"/>
      <c r="M569" s="15"/>
    </row>
    <row r="570" spans="2:13" ht="14">
      <c r="B570" s="15"/>
      <c r="C570" s="15"/>
      <c r="D570" s="15"/>
      <c r="E570" s="15"/>
      <c r="F570" s="15"/>
      <c r="G570" s="15"/>
      <c r="H570" s="19"/>
      <c r="I570" s="19"/>
      <c r="J570" s="15"/>
      <c r="K570" s="15"/>
      <c r="L570" s="15"/>
      <c r="M570" s="15"/>
    </row>
    <row r="571" spans="2:13" ht="14">
      <c r="B571" s="15"/>
      <c r="C571" s="15"/>
      <c r="D571" s="15"/>
      <c r="E571" s="15"/>
      <c r="F571" s="15"/>
      <c r="G571" s="15"/>
      <c r="H571" s="19"/>
      <c r="I571" s="19"/>
      <c r="J571" s="15"/>
      <c r="K571" s="15"/>
      <c r="L571" s="15"/>
      <c r="M571" s="15"/>
    </row>
    <row r="572" spans="2:13" ht="14">
      <c r="B572" s="15"/>
      <c r="C572" s="15"/>
      <c r="D572" s="15"/>
      <c r="E572" s="15"/>
      <c r="F572" s="15"/>
      <c r="G572" s="15"/>
      <c r="H572" s="19"/>
      <c r="I572" s="19"/>
      <c r="J572" s="15"/>
      <c r="K572" s="15"/>
      <c r="L572" s="15"/>
      <c r="M572" s="15"/>
    </row>
    <row r="573" spans="2:13" ht="14">
      <c r="B573" s="15"/>
      <c r="C573" s="15"/>
      <c r="D573" s="15"/>
      <c r="E573" s="15"/>
      <c r="F573" s="15"/>
      <c r="G573" s="15"/>
      <c r="H573" s="19"/>
      <c r="I573" s="19"/>
      <c r="J573" s="15"/>
      <c r="K573" s="15"/>
      <c r="L573" s="15"/>
      <c r="M573" s="15"/>
    </row>
    <row r="574" spans="2:13" ht="14">
      <c r="B574" s="15"/>
      <c r="C574" s="15"/>
      <c r="D574" s="15"/>
      <c r="E574" s="15"/>
      <c r="F574" s="15"/>
      <c r="G574" s="15"/>
      <c r="H574" s="19"/>
      <c r="I574" s="19"/>
      <c r="J574" s="15"/>
      <c r="K574" s="15"/>
      <c r="L574" s="15"/>
      <c r="M574" s="15"/>
    </row>
    <row r="575" spans="2:13" ht="14">
      <c r="B575" s="15"/>
      <c r="C575" s="15"/>
      <c r="D575" s="15"/>
      <c r="E575" s="15"/>
      <c r="F575" s="15"/>
      <c r="G575" s="15"/>
      <c r="H575" s="19"/>
      <c r="I575" s="19"/>
      <c r="J575" s="15"/>
      <c r="K575" s="15"/>
      <c r="L575" s="15"/>
      <c r="M575" s="15"/>
    </row>
    <row r="576" spans="2:13" ht="14">
      <c r="B576" s="15"/>
      <c r="C576" s="15"/>
      <c r="D576" s="15"/>
      <c r="E576" s="15"/>
      <c r="F576" s="15"/>
      <c r="G576" s="15"/>
      <c r="H576" s="19"/>
      <c r="I576" s="19"/>
      <c r="J576" s="15"/>
      <c r="K576" s="15"/>
      <c r="L576" s="15"/>
      <c r="M576" s="15"/>
    </row>
    <row r="577" spans="2:13" ht="14">
      <c r="B577" s="15"/>
      <c r="C577" s="15"/>
      <c r="D577" s="15"/>
      <c r="E577" s="15"/>
      <c r="F577" s="15"/>
      <c r="G577" s="15"/>
      <c r="H577" s="19"/>
      <c r="I577" s="19"/>
      <c r="J577" s="15"/>
      <c r="K577" s="15"/>
      <c r="L577" s="15"/>
      <c r="M577" s="15"/>
    </row>
    <row r="578" spans="2:13" ht="14">
      <c r="B578" s="15"/>
      <c r="C578" s="15"/>
      <c r="D578" s="15"/>
      <c r="E578" s="15"/>
      <c r="F578" s="15"/>
      <c r="G578" s="15"/>
      <c r="H578" s="19"/>
      <c r="I578" s="19"/>
      <c r="J578" s="15"/>
      <c r="K578" s="15"/>
      <c r="L578" s="15"/>
      <c r="M578" s="15"/>
    </row>
    <row r="579" spans="2:13" ht="14">
      <c r="B579" s="15"/>
      <c r="C579" s="15"/>
      <c r="D579" s="15"/>
      <c r="E579" s="15"/>
      <c r="F579" s="15"/>
      <c r="G579" s="15"/>
      <c r="H579" s="19"/>
      <c r="I579" s="19"/>
      <c r="J579" s="15"/>
      <c r="K579" s="15"/>
      <c r="L579" s="15"/>
      <c r="M579" s="15"/>
    </row>
    <row r="580" spans="2:13" ht="14">
      <c r="B580" s="15"/>
      <c r="C580" s="15"/>
      <c r="D580" s="15"/>
      <c r="E580" s="15"/>
      <c r="F580" s="15"/>
      <c r="G580" s="15"/>
      <c r="H580" s="19"/>
      <c r="I580" s="19"/>
      <c r="J580" s="15"/>
      <c r="K580" s="15"/>
      <c r="L580" s="15"/>
      <c r="M580" s="15"/>
    </row>
    <row r="581" spans="2:13" ht="14">
      <c r="B581" s="15"/>
      <c r="C581" s="15"/>
      <c r="D581" s="15"/>
      <c r="E581" s="15"/>
      <c r="F581" s="15"/>
      <c r="G581" s="15"/>
      <c r="H581" s="19"/>
      <c r="I581" s="19"/>
      <c r="J581" s="15"/>
      <c r="K581" s="15"/>
      <c r="L581" s="15"/>
      <c r="M581" s="15"/>
    </row>
    <row r="582" spans="2:13" ht="14">
      <c r="B582" s="15"/>
      <c r="C582" s="15"/>
      <c r="D582" s="15"/>
      <c r="E582" s="15"/>
      <c r="F582" s="15"/>
      <c r="G582" s="15"/>
      <c r="H582" s="19"/>
      <c r="I582" s="19"/>
      <c r="J582" s="15"/>
      <c r="K582" s="15"/>
      <c r="L582" s="15"/>
      <c r="M582" s="15"/>
    </row>
    <row r="583" spans="2:13" ht="14">
      <c r="B583" s="15"/>
      <c r="C583" s="15"/>
      <c r="D583" s="15"/>
      <c r="E583" s="15"/>
      <c r="F583" s="15"/>
      <c r="G583" s="15"/>
      <c r="H583" s="19"/>
      <c r="I583" s="19"/>
      <c r="J583" s="15"/>
      <c r="K583" s="15"/>
      <c r="L583" s="15"/>
      <c r="M583" s="15"/>
    </row>
    <row r="584" spans="2:13" ht="14">
      <c r="B584" s="15"/>
      <c r="C584" s="15"/>
      <c r="D584" s="15"/>
      <c r="E584" s="15"/>
      <c r="F584" s="15"/>
      <c r="G584" s="15"/>
      <c r="H584" s="19"/>
      <c r="I584" s="19"/>
      <c r="J584" s="15"/>
      <c r="K584" s="15"/>
      <c r="L584" s="15"/>
      <c r="M584" s="15"/>
    </row>
    <row r="585" spans="2:13" ht="14">
      <c r="B585" s="15"/>
      <c r="C585" s="15"/>
      <c r="D585" s="15"/>
      <c r="E585" s="15"/>
      <c r="F585" s="15"/>
      <c r="G585" s="15"/>
      <c r="H585" s="19"/>
      <c r="I585" s="19"/>
      <c r="J585" s="15"/>
      <c r="K585" s="15"/>
      <c r="L585" s="15"/>
      <c r="M585" s="15"/>
    </row>
    <row r="586" spans="2:13" ht="14">
      <c r="B586" s="15"/>
      <c r="C586" s="15"/>
      <c r="D586" s="15"/>
      <c r="E586" s="15"/>
      <c r="F586" s="15"/>
      <c r="G586" s="15"/>
      <c r="H586" s="19"/>
      <c r="I586" s="19"/>
      <c r="J586" s="15"/>
      <c r="K586" s="15"/>
      <c r="L586" s="15"/>
      <c r="M586" s="15"/>
    </row>
    <row r="587" spans="2:13" ht="14">
      <c r="B587" s="15"/>
      <c r="C587" s="15"/>
      <c r="D587" s="15"/>
      <c r="E587" s="15"/>
      <c r="F587" s="15"/>
      <c r="G587" s="15"/>
      <c r="H587" s="19"/>
      <c r="I587" s="19"/>
      <c r="J587" s="15"/>
      <c r="K587" s="15"/>
      <c r="L587" s="15"/>
      <c r="M587" s="15"/>
    </row>
    <row r="588" spans="2:13" ht="14">
      <c r="B588" s="15"/>
      <c r="C588" s="15"/>
      <c r="D588" s="15"/>
      <c r="E588" s="15"/>
      <c r="F588" s="15"/>
      <c r="G588" s="15"/>
      <c r="H588" s="19"/>
      <c r="I588" s="19"/>
      <c r="J588" s="15"/>
      <c r="K588" s="15"/>
      <c r="L588" s="15"/>
      <c r="M588" s="15"/>
    </row>
    <row r="589" spans="2:13" ht="14">
      <c r="B589" s="15"/>
      <c r="C589" s="15"/>
      <c r="D589" s="15"/>
      <c r="E589" s="15"/>
      <c r="F589" s="15"/>
      <c r="G589" s="15"/>
      <c r="H589" s="19"/>
      <c r="I589" s="19"/>
      <c r="J589" s="15"/>
      <c r="K589" s="15"/>
      <c r="L589" s="15"/>
      <c r="M589" s="15"/>
    </row>
    <row r="590" spans="2:13" ht="14">
      <c r="B590" s="15"/>
      <c r="C590" s="15"/>
      <c r="D590" s="15"/>
      <c r="E590" s="15"/>
      <c r="F590" s="15"/>
      <c r="G590" s="15"/>
      <c r="H590" s="19"/>
      <c r="I590" s="19"/>
      <c r="J590" s="15"/>
      <c r="K590" s="15"/>
      <c r="L590" s="15"/>
      <c r="M590" s="15"/>
    </row>
    <row r="591" spans="2:13" ht="14">
      <c r="B591" s="15"/>
      <c r="C591" s="15"/>
      <c r="D591" s="15"/>
      <c r="E591" s="15"/>
      <c r="F591" s="15"/>
      <c r="G591" s="15"/>
      <c r="H591" s="19"/>
      <c r="I591" s="19"/>
      <c r="J591" s="15"/>
      <c r="K591" s="15"/>
      <c r="L591" s="15"/>
      <c r="M591" s="15"/>
    </row>
    <row r="592" spans="2:13" ht="14">
      <c r="B592" s="15"/>
      <c r="C592" s="15"/>
      <c r="D592" s="15"/>
      <c r="E592" s="15"/>
      <c r="F592" s="15"/>
      <c r="G592" s="15"/>
      <c r="H592" s="19"/>
      <c r="I592" s="19"/>
      <c r="J592" s="15"/>
      <c r="K592" s="15"/>
      <c r="L592" s="15"/>
      <c r="M592" s="15"/>
    </row>
    <row r="593" spans="2:13" ht="14">
      <c r="B593" s="15"/>
      <c r="C593" s="15"/>
      <c r="D593" s="15"/>
      <c r="E593" s="15"/>
      <c r="F593" s="15"/>
      <c r="G593" s="15"/>
      <c r="H593" s="19"/>
      <c r="I593" s="19"/>
      <c r="J593" s="15"/>
      <c r="K593" s="15"/>
      <c r="L593" s="15"/>
      <c r="M593" s="15"/>
    </row>
    <row r="594" spans="2:13" ht="14">
      <c r="B594" s="15"/>
      <c r="C594" s="15"/>
      <c r="D594" s="15"/>
      <c r="E594" s="15"/>
      <c r="F594" s="15"/>
      <c r="G594" s="15"/>
      <c r="H594" s="19"/>
      <c r="I594" s="19"/>
      <c r="J594" s="15"/>
      <c r="K594" s="15"/>
      <c r="L594" s="15"/>
      <c r="M594" s="15"/>
    </row>
    <row r="595" spans="2:13" ht="14">
      <c r="B595" s="15"/>
      <c r="C595" s="15"/>
      <c r="D595" s="15"/>
      <c r="E595" s="15"/>
      <c r="F595" s="15"/>
      <c r="G595" s="15"/>
      <c r="H595" s="19"/>
      <c r="I595" s="19"/>
      <c r="J595" s="15"/>
      <c r="K595" s="15"/>
      <c r="L595" s="15"/>
      <c r="M595" s="15"/>
    </row>
    <row r="596" spans="2:13" ht="14">
      <c r="B596" s="15"/>
      <c r="C596" s="15"/>
      <c r="D596" s="15"/>
      <c r="E596" s="15"/>
      <c r="F596" s="15"/>
      <c r="G596" s="15"/>
      <c r="H596" s="19"/>
      <c r="I596" s="19"/>
      <c r="J596" s="15"/>
      <c r="K596" s="15"/>
      <c r="L596" s="15"/>
      <c r="M596" s="15"/>
    </row>
    <row r="597" spans="2:13" ht="14">
      <c r="B597" s="15"/>
      <c r="C597" s="15"/>
      <c r="D597" s="15"/>
      <c r="E597" s="15"/>
      <c r="F597" s="15"/>
      <c r="G597" s="15"/>
      <c r="H597" s="19"/>
      <c r="I597" s="19"/>
      <c r="J597" s="15"/>
      <c r="K597" s="15"/>
      <c r="L597" s="15"/>
      <c r="M597" s="15"/>
    </row>
    <row r="598" spans="2:13" ht="14">
      <c r="B598" s="15"/>
      <c r="C598" s="15"/>
      <c r="D598" s="15"/>
      <c r="E598" s="15"/>
      <c r="F598" s="15"/>
      <c r="G598" s="15"/>
      <c r="H598" s="19"/>
      <c r="I598" s="19"/>
      <c r="J598" s="15"/>
      <c r="K598" s="15"/>
      <c r="L598" s="15"/>
      <c r="M598" s="15"/>
    </row>
    <row r="599" spans="2:13" ht="14">
      <c r="B599" s="15"/>
      <c r="C599" s="15"/>
      <c r="D599" s="15"/>
      <c r="E599" s="15"/>
      <c r="F599" s="15"/>
      <c r="G599" s="15"/>
      <c r="H599" s="19"/>
      <c r="I599" s="19"/>
      <c r="J599" s="15"/>
      <c r="K599" s="15"/>
      <c r="L599" s="15"/>
      <c r="M599" s="15"/>
    </row>
    <row r="600" spans="2:13" ht="14">
      <c r="B600" s="15"/>
      <c r="C600" s="15"/>
      <c r="D600" s="15"/>
      <c r="E600" s="15"/>
      <c r="F600" s="15"/>
      <c r="G600" s="15"/>
      <c r="H600" s="19"/>
      <c r="I600" s="19"/>
      <c r="J600" s="15"/>
      <c r="K600" s="15"/>
      <c r="L600" s="15"/>
      <c r="M600" s="15"/>
    </row>
    <row r="601" spans="2:13" ht="14">
      <c r="B601" s="15"/>
      <c r="C601" s="15"/>
      <c r="D601" s="15"/>
      <c r="E601" s="15"/>
      <c r="F601" s="15"/>
      <c r="G601" s="15"/>
      <c r="H601" s="19"/>
      <c r="I601" s="19"/>
      <c r="J601" s="15"/>
      <c r="K601" s="15"/>
      <c r="L601" s="15"/>
      <c r="M601" s="15"/>
    </row>
    <row r="602" spans="2:13" ht="14">
      <c r="B602" s="15"/>
      <c r="C602" s="15"/>
      <c r="D602" s="15"/>
      <c r="E602" s="15"/>
      <c r="F602" s="15"/>
      <c r="G602" s="15"/>
      <c r="H602" s="19"/>
      <c r="I602" s="19"/>
      <c r="J602" s="15"/>
      <c r="K602" s="15"/>
      <c r="L602" s="15"/>
      <c r="M602" s="15"/>
    </row>
    <row r="603" spans="2:13" ht="14">
      <c r="B603" s="15"/>
      <c r="C603" s="15"/>
      <c r="D603" s="15"/>
      <c r="E603" s="15"/>
      <c r="F603" s="15"/>
      <c r="G603" s="15"/>
      <c r="H603" s="19"/>
      <c r="I603" s="19"/>
      <c r="J603" s="15"/>
      <c r="K603" s="15"/>
      <c r="L603" s="15"/>
      <c r="M603" s="15"/>
    </row>
    <row r="604" spans="2:13" ht="14">
      <c r="B604" s="15"/>
      <c r="C604" s="15"/>
      <c r="D604" s="15"/>
      <c r="E604" s="15"/>
      <c r="F604" s="15"/>
      <c r="G604" s="15"/>
      <c r="H604" s="19"/>
      <c r="I604" s="19"/>
      <c r="J604" s="15"/>
      <c r="K604" s="15"/>
      <c r="L604" s="15"/>
      <c r="M604" s="15"/>
    </row>
    <row r="605" spans="2:13" ht="14">
      <c r="B605" s="15"/>
      <c r="C605" s="15"/>
      <c r="D605" s="15"/>
      <c r="E605" s="15"/>
      <c r="F605" s="15"/>
      <c r="G605" s="15"/>
      <c r="H605" s="19"/>
      <c r="I605" s="19"/>
      <c r="J605" s="15"/>
      <c r="K605" s="15"/>
      <c r="L605" s="15"/>
      <c r="M605" s="15"/>
    </row>
    <row r="606" spans="2:13" ht="14">
      <c r="B606" s="15"/>
      <c r="C606" s="15"/>
      <c r="D606" s="15"/>
      <c r="E606" s="15"/>
      <c r="F606" s="15"/>
      <c r="G606" s="15"/>
      <c r="H606" s="19"/>
      <c r="I606" s="19"/>
      <c r="J606" s="15"/>
      <c r="K606" s="15"/>
      <c r="L606" s="15"/>
      <c r="M606" s="15"/>
    </row>
    <row r="607" spans="2:13" ht="14">
      <c r="B607" s="15"/>
      <c r="C607" s="15"/>
      <c r="D607" s="15"/>
      <c r="E607" s="15"/>
      <c r="F607" s="15"/>
      <c r="G607" s="15"/>
      <c r="H607" s="19"/>
      <c r="I607" s="19"/>
      <c r="J607" s="15"/>
      <c r="K607" s="15"/>
      <c r="L607" s="15"/>
      <c r="M607" s="15"/>
    </row>
    <row r="608" spans="2:13" ht="14">
      <c r="B608" s="15"/>
      <c r="C608" s="15"/>
      <c r="D608" s="15"/>
      <c r="E608" s="15"/>
      <c r="F608" s="15"/>
      <c r="G608" s="15"/>
      <c r="H608" s="19"/>
      <c r="I608" s="19"/>
      <c r="J608" s="15"/>
      <c r="K608" s="15"/>
      <c r="L608" s="15"/>
      <c r="M608" s="15"/>
    </row>
    <row r="609" spans="2:13" ht="14">
      <c r="B609" s="15"/>
      <c r="C609" s="15"/>
      <c r="D609" s="15"/>
      <c r="E609" s="15"/>
      <c r="F609" s="15"/>
      <c r="G609" s="15"/>
      <c r="H609" s="19"/>
      <c r="I609" s="19"/>
      <c r="J609" s="15"/>
      <c r="K609" s="15"/>
      <c r="L609" s="15"/>
      <c r="M609" s="15"/>
    </row>
    <row r="610" spans="2:13" ht="14">
      <c r="B610" s="15"/>
      <c r="C610" s="15"/>
      <c r="D610" s="15"/>
      <c r="E610" s="15"/>
      <c r="F610" s="15"/>
      <c r="G610" s="15"/>
      <c r="H610" s="19"/>
      <c r="I610" s="19"/>
      <c r="J610" s="15"/>
      <c r="K610" s="15"/>
      <c r="L610" s="15"/>
      <c r="M610" s="15"/>
    </row>
    <row r="611" spans="2:13" ht="14">
      <c r="B611" s="15"/>
      <c r="C611" s="15"/>
      <c r="D611" s="15"/>
      <c r="E611" s="15"/>
      <c r="F611" s="15"/>
      <c r="G611" s="15"/>
      <c r="H611" s="19"/>
      <c r="I611" s="19"/>
      <c r="J611" s="15"/>
      <c r="K611" s="15"/>
      <c r="L611" s="15"/>
      <c r="M611" s="15"/>
    </row>
    <row r="612" spans="2:13" ht="14">
      <c r="B612" s="15"/>
      <c r="C612" s="15"/>
      <c r="D612" s="15"/>
      <c r="E612" s="15"/>
      <c r="F612" s="15"/>
      <c r="G612" s="15"/>
      <c r="H612" s="19"/>
      <c r="I612" s="19"/>
      <c r="J612" s="15"/>
      <c r="K612" s="15"/>
      <c r="L612" s="15"/>
      <c r="M612" s="15"/>
    </row>
    <row r="613" spans="2:13" ht="14">
      <c r="B613" s="15"/>
      <c r="C613" s="15"/>
      <c r="D613" s="15"/>
      <c r="E613" s="15"/>
      <c r="F613" s="15"/>
      <c r="G613" s="15"/>
      <c r="H613" s="19"/>
      <c r="I613" s="19"/>
      <c r="J613" s="15"/>
      <c r="K613" s="15"/>
      <c r="L613" s="15"/>
      <c r="M613" s="15"/>
    </row>
    <row r="614" spans="2:13" ht="14">
      <c r="B614" s="15"/>
      <c r="C614" s="15"/>
      <c r="D614" s="15"/>
      <c r="E614" s="15"/>
      <c r="F614" s="15"/>
      <c r="G614" s="15"/>
      <c r="H614" s="19"/>
      <c r="I614" s="19"/>
      <c r="J614" s="15"/>
      <c r="K614" s="15"/>
      <c r="L614" s="15"/>
      <c r="M614" s="15"/>
    </row>
    <row r="615" spans="2:13" ht="14">
      <c r="B615" s="15"/>
      <c r="C615" s="15"/>
      <c r="D615" s="15"/>
      <c r="E615" s="15"/>
      <c r="F615" s="15"/>
      <c r="G615" s="15"/>
      <c r="H615" s="19"/>
      <c r="I615" s="19"/>
      <c r="J615" s="15"/>
      <c r="K615" s="15"/>
      <c r="L615" s="15"/>
      <c r="M615" s="15"/>
    </row>
    <row r="616" spans="2:13" ht="14">
      <c r="B616" s="15"/>
      <c r="C616" s="15"/>
      <c r="D616" s="15"/>
      <c r="E616" s="15"/>
      <c r="F616" s="15"/>
      <c r="G616" s="15"/>
      <c r="H616" s="19"/>
      <c r="I616" s="19"/>
      <c r="J616" s="15"/>
      <c r="K616" s="15"/>
      <c r="L616" s="15"/>
      <c r="M616" s="15"/>
    </row>
    <row r="617" spans="2:13" ht="14">
      <c r="B617" s="15"/>
      <c r="C617" s="15"/>
      <c r="D617" s="15"/>
      <c r="E617" s="15"/>
      <c r="F617" s="15"/>
      <c r="G617" s="15"/>
      <c r="H617" s="19"/>
      <c r="I617" s="19"/>
      <c r="J617" s="15"/>
      <c r="K617" s="15"/>
      <c r="L617" s="15"/>
      <c r="M617" s="15"/>
    </row>
    <row r="618" spans="2:13" ht="14">
      <c r="B618" s="15"/>
      <c r="C618" s="15"/>
      <c r="D618" s="15"/>
      <c r="E618" s="15"/>
      <c r="F618" s="15"/>
      <c r="G618" s="15"/>
      <c r="H618" s="19"/>
      <c r="I618" s="19"/>
      <c r="J618" s="15"/>
      <c r="K618" s="15"/>
      <c r="L618" s="15"/>
      <c r="M618" s="15"/>
    </row>
    <row r="619" spans="2:13" ht="14">
      <c r="B619" s="15"/>
      <c r="C619" s="15"/>
      <c r="D619" s="15"/>
      <c r="E619" s="15"/>
      <c r="F619" s="15"/>
      <c r="G619" s="15"/>
      <c r="H619" s="19"/>
      <c r="I619" s="19"/>
      <c r="J619" s="15"/>
      <c r="K619" s="15"/>
      <c r="L619" s="15"/>
      <c r="M619" s="15"/>
    </row>
    <row r="620" spans="2:13" ht="14">
      <c r="B620" s="15"/>
      <c r="C620" s="15"/>
      <c r="D620" s="15"/>
      <c r="E620" s="15"/>
      <c r="F620" s="15"/>
      <c r="G620" s="15"/>
      <c r="H620" s="19"/>
      <c r="I620" s="19"/>
      <c r="J620" s="15"/>
      <c r="K620" s="15"/>
      <c r="L620" s="15"/>
      <c r="M620" s="15"/>
    </row>
    <row r="621" spans="2:13" ht="14">
      <c r="B621" s="15"/>
      <c r="C621" s="15"/>
      <c r="D621" s="15"/>
      <c r="E621" s="15"/>
      <c r="F621" s="15"/>
      <c r="G621" s="15"/>
      <c r="H621" s="19"/>
      <c r="I621" s="19"/>
      <c r="J621" s="15"/>
      <c r="K621" s="15"/>
      <c r="L621" s="15"/>
      <c r="M621" s="15"/>
    </row>
    <row r="622" spans="2:13" ht="14">
      <c r="B622" s="15"/>
      <c r="C622" s="15"/>
      <c r="D622" s="15"/>
      <c r="E622" s="15"/>
      <c r="F622" s="15"/>
      <c r="G622" s="15"/>
      <c r="H622" s="19"/>
      <c r="I622" s="19"/>
      <c r="J622" s="15"/>
      <c r="K622" s="15"/>
      <c r="L622" s="15"/>
      <c r="M622" s="15"/>
    </row>
    <row r="623" spans="2:13" ht="14">
      <c r="B623" s="15"/>
      <c r="C623" s="15"/>
      <c r="D623" s="15"/>
      <c r="E623" s="15"/>
      <c r="F623" s="15"/>
      <c r="G623" s="15"/>
      <c r="H623" s="19"/>
      <c r="I623" s="19"/>
      <c r="J623" s="15"/>
      <c r="K623" s="15"/>
      <c r="L623" s="15"/>
      <c r="M623" s="15"/>
    </row>
    <row r="624" spans="2:13" ht="14">
      <c r="B624" s="15"/>
      <c r="C624" s="15"/>
      <c r="D624" s="15"/>
      <c r="E624" s="15"/>
      <c r="F624" s="15"/>
      <c r="G624" s="15"/>
      <c r="H624" s="19"/>
      <c r="I624" s="19"/>
      <c r="J624" s="15"/>
      <c r="K624" s="15"/>
      <c r="L624" s="15"/>
      <c r="M624" s="15"/>
    </row>
    <row r="625" spans="2:13" ht="14">
      <c r="B625" s="15"/>
      <c r="C625" s="15"/>
      <c r="D625" s="15"/>
      <c r="E625" s="15"/>
      <c r="F625" s="15"/>
      <c r="G625" s="15"/>
      <c r="H625" s="19"/>
      <c r="I625" s="19"/>
      <c r="J625" s="15"/>
      <c r="K625" s="15"/>
      <c r="L625" s="15"/>
      <c r="M625" s="15"/>
    </row>
    <row r="626" spans="2:13" ht="14">
      <c r="B626" s="15"/>
      <c r="C626" s="15"/>
      <c r="D626" s="15"/>
      <c r="E626" s="15"/>
      <c r="F626" s="15"/>
      <c r="G626" s="15"/>
      <c r="H626" s="19"/>
      <c r="I626" s="19"/>
      <c r="J626" s="15"/>
      <c r="K626" s="15"/>
      <c r="L626" s="15"/>
      <c r="M626" s="15"/>
    </row>
    <row r="627" spans="2:13" ht="14">
      <c r="B627" s="15"/>
      <c r="C627" s="15"/>
      <c r="D627" s="15"/>
      <c r="E627" s="15"/>
      <c r="F627" s="15"/>
      <c r="G627" s="15"/>
      <c r="H627" s="19"/>
      <c r="I627" s="19"/>
      <c r="J627" s="15"/>
      <c r="K627" s="15"/>
      <c r="L627" s="15"/>
      <c r="M627" s="15"/>
    </row>
    <row r="628" spans="2:13" ht="14">
      <c r="B628" s="15"/>
      <c r="C628" s="15"/>
      <c r="D628" s="15"/>
      <c r="E628" s="15"/>
      <c r="F628" s="15"/>
      <c r="G628" s="15"/>
      <c r="H628" s="19"/>
      <c r="I628" s="19"/>
      <c r="J628" s="15"/>
      <c r="K628" s="15"/>
      <c r="L628" s="15"/>
      <c r="M628" s="15"/>
    </row>
    <row r="629" spans="2:13" ht="14">
      <c r="B629" s="15"/>
      <c r="C629" s="15"/>
      <c r="D629" s="15"/>
      <c r="E629" s="15"/>
      <c r="F629" s="15"/>
      <c r="G629" s="15"/>
      <c r="H629" s="19"/>
      <c r="I629" s="19"/>
      <c r="J629" s="15"/>
      <c r="K629" s="15"/>
      <c r="L629" s="15"/>
      <c r="M629" s="15"/>
    </row>
    <row r="630" spans="2:13" ht="14">
      <c r="B630" s="15"/>
      <c r="C630" s="15"/>
      <c r="D630" s="15"/>
      <c r="E630" s="15"/>
      <c r="F630" s="15"/>
      <c r="G630" s="15"/>
      <c r="H630" s="19"/>
      <c r="I630" s="19"/>
      <c r="J630" s="15"/>
      <c r="K630" s="15"/>
      <c r="L630" s="15"/>
      <c r="M630" s="15"/>
    </row>
    <row r="631" spans="2:13" ht="14">
      <c r="B631" s="15"/>
      <c r="C631" s="15"/>
      <c r="D631" s="15"/>
      <c r="E631" s="15"/>
      <c r="F631" s="15"/>
      <c r="G631" s="15"/>
      <c r="H631" s="19"/>
      <c r="I631" s="19"/>
      <c r="J631" s="15"/>
      <c r="K631" s="15"/>
      <c r="L631" s="15"/>
      <c r="M631" s="15"/>
    </row>
    <row r="632" spans="2:13" ht="14">
      <c r="B632" s="15"/>
      <c r="C632" s="15"/>
      <c r="D632" s="15"/>
      <c r="E632" s="15"/>
      <c r="F632" s="15"/>
      <c r="G632" s="15"/>
      <c r="H632" s="19"/>
      <c r="I632" s="19"/>
      <c r="J632" s="15"/>
      <c r="K632" s="15"/>
      <c r="L632" s="15"/>
      <c r="M632" s="15"/>
    </row>
    <row r="633" spans="2:13" ht="14">
      <c r="B633" s="15"/>
      <c r="C633" s="15"/>
      <c r="D633" s="15"/>
      <c r="E633" s="15"/>
      <c r="F633" s="15"/>
      <c r="G633" s="15"/>
      <c r="H633" s="19"/>
      <c r="I633" s="19"/>
      <c r="J633" s="15"/>
      <c r="K633" s="15"/>
      <c r="L633" s="15"/>
      <c r="M633" s="15"/>
    </row>
    <row r="634" spans="2:13" ht="14">
      <c r="B634" s="15"/>
      <c r="C634" s="15"/>
      <c r="D634" s="15"/>
      <c r="E634" s="15"/>
      <c r="F634" s="15"/>
      <c r="G634" s="15"/>
      <c r="H634" s="19"/>
      <c r="I634" s="19"/>
      <c r="J634" s="15"/>
      <c r="K634" s="15"/>
      <c r="L634" s="15"/>
      <c r="M634" s="15"/>
    </row>
    <row r="635" spans="2:13" ht="14">
      <c r="B635" s="15"/>
      <c r="C635" s="15"/>
      <c r="D635" s="15"/>
      <c r="E635" s="15"/>
      <c r="F635" s="15"/>
      <c r="G635" s="15"/>
      <c r="H635" s="19"/>
      <c r="I635" s="19"/>
      <c r="J635" s="15"/>
      <c r="K635" s="15"/>
      <c r="L635" s="15"/>
      <c r="M635" s="15"/>
    </row>
    <row r="636" spans="2:13" ht="14">
      <c r="B636" s="15"/>
      <c r="C636" s="15"/>
      <c r="D636" s="15"/>
      <c r="E636" s="15"/>
      <c r="F636" s="15"/>
      <c r="G636" s="15"/>
      <c r="H636" s="19"/>
      <c r="I636" s="19"/>
      <c r="J636" s="15"/>
      <c r="K636" s="15"/>
      <c r="L636" s="15"/>
      <c r="M636" s="15"/>
    </row>
    <row r="637" spans="2:13" ht="14">
      <c r="B637" s="15"/>
      <c r="C637" s="15"/>
      <c r="D637" s="15"/>
      <c r="E637" s="15"/>
      <c r="F637" s="15"/>
      <c r="G637" s="15"/>
      <c r="H637" s="19"/>
      <c r="I637" s="19"/>
      <c r="J637" s="15"/>
      <c r="K637" s="15"/>
      <c r="L637" s="15"/>
      <c r="M637" s="15"/>
    </row>
    <row r="638" spans="2:13" ht="14">
      <c r="B638" s="15"/>
      <c r="C638" s="15"/>
      <c r="D638" s="15"/>
      <c r="E638" s="15"/>
      <c r="F638" s="15"/>
      <c r="G638" s="15"/>
      <c r="H638" s="19"/>
      <c r="I638" s="19"/>
      <c r="J638" s="15"/>
      <c r="K638" s="15"/>
      <c r="L638" s="15"/>
      <c r="M638" s="15"/>
    </row>
    <row r="639" spans="2:13" ht="14">
      <c r="B639" s="15"/>
      <c r="C639" s="15"/>
      <c r="D639" s="15"/>
      <c r="E639" s="15"/>
      <c r="F639" s="15"/>
      <c r="G639" s="15"/>
      <c r="H639" s="19"/>
      <c r="I639" s="19"/>
      <c r="J639" s="15"/>
      <c r="K639" s="15"/>
      <c r="L639" s="15"/>
      <c r="M639" s="15"/>
    </row>
    <row r="640" spans="2:13" ht="14">
      <c r="B640" s="15"/>
      <c r="C640" s="15"/>
      <c r="D640" s="15"/>
      <c r="E640" s="15"/>
      <c r="F640" s="15"/>
      <c r="G640" s="15"/>
      <c r="H640" s="19"/>
      <c r="I640" s="19"/>
      <c r="J640" s="15"/>
      <c r="K640" s="15"/>
      <c r="L640" s="15"/>
      <c r="M640" s="15"/>
    </row>
    <row r="641" spans="2:13" ht="14">
      <c r="B641" s="15"/>
      <c r="C641" s="15"/>
      <c r="D641" s="15"/>
      <c r="E641" s="15"/>
      <c r="F641" s="15"/>
      <c r="G641" s="15"/>
      <c r="H641" s="19"/>
      <c r="I641" s="19"/>
      <c r="J641" s="15"/>
      <c r="K641" s="15"/>
      <c r="L641" s="15"/>
      <c r="M641" s="15"/>
    </row>
    <row r="642" spans="2:13" ht="14">
      <c r="B642" s="15"/>
      <c r="C642" s="15"/>
      <c r="D642" s="15"/>
      <c r="E642" s="15"/>
      <c r="F642" s="15"/>
      <c r="G642" s="15"/>
      <c r="H642" s="19"/>
      <c r="I642" s="19"/>
      <c r="J642" s="15"/>
      <c r="K642" s="15"/>
      <c r="L642" s="15"/>
      <c r="M642" s="15"/>
    </row>
    <row r="643" spans="2:13" ht="14">
      <c r="B643" s="15"/>
      <c r="C643" s="15"/>
      <c r="D643" s="15"/>
      <c r="E643" s="15"/>
      <c r="F643" s="15"/>
      <c r="G643" s="15"/>
      <c r="H643" s="19"/>
      <c r="I643" s="19"/>
      <c r="J643" s="15"/>
      <c r="K643" s="15"/>
      <c r="L643" s="15"/>
      <c r="M643" s="15"/>
    </row>
    <row r="644" spans="2:13" ht="14">
      <c r="B644" s="15"/>
      <c r="C644" s="15"/>
      <c r="D644" s="15"/>
      <c r="E644" s="15"/>
      <c r="F644" s="15"/>
      <c r="G644" s="15"/>
      <c r="H644" s="19"/>
      <c r="I644" s="19"/>
      <c r="J644" s="15"/>
      <c r="K644" s="15"/>
      <c r="L644" s="15"/>
      <c r="M644" s="15"/>
    </row>
    <row r="645" spans="2:13" ht="14">
      <c r="B645" s="15"/>
      <c r="C645" s="15"/>
      <c r="D645" s="15"/>
      <c r="E645" s="15"/>
      <c r="F645" s="15"/>
      <c r="G645" s="15"/>
      <c r="H645" s="19"/>
      <c r="I645" s="19"/>
      <c r="J645" s="15"/>
      <c r="K645" s="15"/>
      <c r="L645" s="15"/>
      <c r="M645" s="15"/>
    </row>
    <row r="646" spans="2:13" ht="14">
      <c r="B646" s="15"/>
      <c r="C646" s="15"/>
      <c r="D646" s="15"/>
      <c r="E646" s="15"/>
      <c r="F646" s="15"/>
      <c r="G646" s="15"/>
      <c r="H646" s="19"/>
      <c r="I646" s="19"/>
      <c r="J646" s="15"/>
      <c r="K646" s="15"/>
      <c r="L646" s="15"/>
      <c r="M646" s="15"/>
    </row>
    <row r="647" spans="2:13" ht="14">
      <c r="B647" s="15"/>
      <c r="C647" s="15"/>
      <c r="D647" s="15"/>
      <c r="E647" s="15"/>
      <c r="F647" s="15"/>
      <c r="G647" s="15"/>
      <c r="H647" s="19"/>
      <c r="I647" s="19"/>
      <c r="J647" s="15"/>
      <c r="K647" s="15"/>
      <c r="L647" s="15"/>
      <c r="M647" s="15"/>
    </row>
    <row r="648" spans="2:13" ht="14">
      <c r="B648" s="15"/>
      <c r="C648" s="15"/>
      <c r="D648" s="15"/>
      <c r="E648" s="15"/>
      <c r="F648" s="15"/>
      <c r="G648" s="15"/>
      <c r="H648" s="19"/>
      <c r="I648" s="19"/>
      <c r="J648" s="15"/>
      <c r="K648" s="15"/>
      <c r="L648" s="15"/>
      <c r="M648" s="15"/>
    </row>
    <row r="649" spans="2:13" ht="14">
      <c r="B649" s="15"/>
      <c r="C649" s="15"/>
      <c r="D649" s="15"/>
      <c r="E649" s="15"/>
      <c r="F649" s="15"/>
      <c r="G649" s="15"/>
      <c r="H649" s="19"/>
      <c r="I649" s="19"/>
      <c r="J649" s="15"/>
      <c r="K649" s="15"/>
      <c r="L649" s="15"/>
      <c r="M649" s="15"/>
    </row>
    <row r="650" spans="2:13" ht="14">
      <c r="B650" s="15"/>
      <c r="C650" s="15"/>
      <c r="D650" s="15"/>
      <c r="E650" s="15"/>
      <c r="F650" s="15"/>
      <c r="G650" s="15"/>
      <c r="H650" s="19"/>
      <c r="I650" s="19"/>
      <c r="J650" s="15"/>
      <c r="K650" s="15"/>
      <c r="L650" s="15"/>
      <c r="M650" s="15"/>
    </row>
    <row r="651" spans="2:13" ht="14">
      <c r="B651" s="15"/>
      <c r="C651" s="15"/>
      <c r="D651" s="15"/>
      <c r="E651" s="15"/>
      <c r="F651" s="15"/>
      <c r="G651" s="15"/>
      <c r="H651" s="19"/>
      <c r="I651" s="19"/>
      <c r="J651" s="15"/>
      <c r="K651" s="15"/>
      <c r="L651" s="15"/>
      <c r="M651" s="15"/>
    </row>
    <row r="652" spans="2:13" ht="14">
      <c r="B652" s="15"/>
      <c r="C652" s="15"/>
      <c r="D652" s="15"/>
      <c r="E652" s="15"/>
      <c r="F652" s="15"/>
      <c r="G652" s="15"/>
      <c r="H652" s="19"/>
      <c r="I652" s="19"/>
      <c r="J652" s="15"/>
      <c r="K652" s="15"/>
      <c r="L652" s="15"/>
      <c r="M652" s="15"/>
    </row>
    <row r="653" spans="2:13" ht="14">
      <c r="B653" s="15"/>
      <c r="C653" s="15"/>
      <c r="D653" s="15"/>
      <c r="E653" s="15"/>
      <c r="F653" s="15"/>
      <c r="G653" s="15"/>
      <c r="H653" s="19"/>
      <c r="I653" s="19"/>
      <c r="J653" s="15"/>
      <c r="K653" s="15"/>
      <c r="L653" s="15"/>
      <c r="M653" s="15"/>
    </row>
    <row r="654" spans="2:13" ht="14">
      <c r="B654" s="15"/>
      <c r="C654" s="15"/>
      <c r="D654" s="15"/>
      <c r="E654" s="15"/>
      <c r="F654" s="15"/>
      <c r="G654" s="15"/>
      <c r="H654" s="19"/>
      <c r="I654" s="19"/>
      <c r="J654" s="15"/>
      <c r="K654" s="15"/>
      <c r="L654" s="15"/>
      <c r="M654" s="15"/>
    </row>
    <row r="655" spans="2:13" ht="14">
      <c r="B655" s="15"/>
      <c r="C655" s="15"/>
      <c r="D655" s="15"/>
      <c r="E655" s="15"/>
      <c r="F655" s="15"/>
      <c r="G655" s="15"/>
      <c r="H655" s="19"/>
      <c r="I655" s="19"/>
      <c r="J655" s="15"/>
      <c r="K655" s="15"/>
      <c r="L655" s="15"/>
      <c r="M655" s="15"/>
    </row>
    <row r="656" spans="2:13" ht="14">
      <c r="B656" s="15"/>
      <c r="C656" s="15"/>
      <c r="D656" s="15"/>
      <c r="E656" s="15"/>
      <c r="F656" s="15"/>
      <c r="G656" s="15"/>
      <c r="H656" s="19"/>
      <c r="I656" s="19"/>
      <c r="J656" s="15"/>
      <c r="K656" s="15"/>
      <c r="L656" s="15"/>
      <c r="M656" s="15"/>
    </row>
    <row r="657" spans="2:13" ht="14">
      <c r="B657" s="15"/>
      <c r="C657" s="15"/>
      <c r="D657" s="15"/>
      <c r="E657" s="15"/>
      <c r="F657" s="15"/>
      <c r="G657" s="15"/>
      <c r="H657" s="19"/>
      <c r="I657" s="19"/>
      <c r="J657" s="15"/>
      <c r="K657" s="15"/>
      <c r="L657" s="15"/>
      <c r="M657" s="15"/>
    </row>
    <row r="658" spans="2:13" ht="14">
      <c r="B658" s="15"/>
      <c r="C658" s="15"/>
      <c r="D658" s="15"/>
      <c r="E658" s="15"/>
      <c r="F658" s="15"/>
      <c r="G658" s="15"/>
      <c r="H658" s="19"/>
      <c r="I658" s="19"/>
      <c r="J658" s="15"/>
      <c r="K658" s="15"/>
      <c r="L658" s="15"/>
      <c r="M658" s="15"/>
    </row>
    <row r="659" spans="2:13" ht="14">
      <c r="B659" s="15"/>
      <c r="C659" s="15"/>
      <c r="D659" s="15"/>
      <c r="E659" s="15"/>
      <c r="F659" s="15"/>
      <c r="G659" s="15"/>
      <c r="H659" s="19"/>
      <c r="I659" s="19"/>
      <c r="J659" s="15"/>
      <c r="K659" s="15"/>
      <c r="L659" s="15"/>
      <c r="M659" s="15"/>
    </row>
    <row r="660" spans="2:13" ht="14">
      <c r="B660" s="15"/>
      <c r="C660" s="15"/>
      <c r="D660" s="15"/>
      <c r="E660" s="15"/>
      <c r="F660" s="15"/>
      <c r="G660" s="15"/>
      <c r="H660" s="19"/>
      <c r="I660" s="19"/>
      <c r="J660" s="15"/>
      <c r="K660" s="15"/>
      <c r="L660" s="15"/>
      <c r="M660" s="15"/>
    </row>
    <row r="661" spans="2:13" ht="14">
      <c r="B661" s="15"/>
      <c r="C661" s="15"/>
      <c r="D661" s="15"/>
      <c r="E661" s="15"/>
      <c r="F661" s="15"/>
      <c r="G661" s="15"/>
      <c r="H661" s="19"/>
      <c r="I661" s="19"/>
      <c r="J661" s="15"/>
      <c r="K661" s="15"/>
      <c r="L661" s="15"/>
      <c r="M661" s="15"/>
    </row>
    <row r="662" spans="2:13" ht="14">
      <c r="B662" s="15"/>
      <c r="C662" s="15"/>
      <c r="D662" s="15"/>
      <c r="E662" s="15"/>
      <c r="F662" s="15"/>
      <c r="G662" s="15"/>
      <c r="H662" s="19"/>
      <c r="I662" s="19"/>
      <c r="J662" s="15"/>
      <c r="K662" s="15"/>
      <c r="L662" s="15"/>
      <c r="M662" s="15"/>
    </row>
    <row r="663" spans="2:13" ht="14">
      <c r="B663" s="15"/>
      <c r="C663" s="15"/>
      <c r="D663" s="15"/>
      <c r="E663" s="15"/>
      <c r="F663" s="15"/>
      <c r="G663" s="15"/>
      <c r="H663" s="19"/>
      <c r="I663" s="19"/>
      <c r="J663" s="15"/>
      <c r="K663" s="15"/>
      <c r="L663" s="15"/>
      <c r="M663" s="15"/>
    </row>
    <row r="664" spans="2:13" ht="14">
      <c r="B664" s="15"/>
      <c r="C664" s="15"/>
      <c r="D664" s="15"/>
      <c r="E664" s="15"/>
      <c r="F664" s="15"/>
      <c r="G664" s="15"/>
      <c r="H664" s="19"/>
      <c r="I664" s="19"/>
      <c r="J664" s="15"/>
      <c r="K664" s="15"/>
      <c r="L664" s="15"/>
      <c r="M664" s="15"/>
    </row>
    <row r="665" spans="2:13" ht="14">
      <c r="B665" s="15"/>
      <c r="C665" s="15"/>
      <c r="D665" s="15"/>
      <c r="E665" s="15"/>
      <c r="F665" s="15"/>
      <c r="G665" s="15"/>
      <c r="H665" s="19"/>
      <c r="I665" s="19"/>
      <c r="J665" s="15"/>
      <c r="K665" s="15"/>
      <c r="L665" s="15"/>
      <c r="M665" s="15"/>
    </row>
    <row r="666" spans="2:13" ht="14">
      <c r="B666" s="15"/>
      <c r="C666" s="15"/>
      <c r="D666" s="15"/>
      <c r="E666" s="15"/>
      <c r="F666" s="15"/>
      <c r="G666" s="15"/>
      <c r="H666" s="19"/>
      <c r="I666" s="19"/>
      <c r="J666" s="15"/>
      <c r="K666" s="15"/>
      <c r="L666" s="15"/>
      <c r="M666" s="15"/>
    </row>
    <row r="667" spans="2:13" ht="14">
      <c r="B667" s="15"/>
      <c r="C667" s="15"/>
      <c r="D667" s="15"/>
      <c r="E667" s="15"/>
      <c r="F667" s="15"/>
      <c r="G667" s="15"/>
      <c r="H667" s="19"/>
      <c r="I667" s="19"/>
      <c r="J667" s="15"/>
      <c r="K667" s="15"/>
      <c r="L667" s="15"/>
      <c r="M667" s="15"/>
    </row>
    <row r="668" spans="2:13" ht="14">
      <c r="B668" s="15"/>
      <c r="C668" s="15"/>
      <c r="D668" s="15"/>
      <c r="E668" s="15"/>
      <c r="F668" s="15"/>
      <c r="G668" s="15"/>
      <c r="H668" s="19"/>
      <c r="I668" s="19"/>
      <c r="J668" s="15"/>
      <c r="K668" s="15"/>
      <c r="L668" s="15"/>
      <c r="M668" s="15"/>
    </row>
    <row r="669" spans="2:13" ht="14">
      <c r="B669" s="15"/>
      <c r="C669" s="15"/>
      <c r="D669" s="15"/>
      <c r="E669" s="15"/>
      <c r="F669" s="15"/>
      <c r="G669" s="15"/>
      <c r="H669" s="19"/>
      <c r="I669" s="19"/>
      <c r="J669" s="15"/>
      <c r="K669" s="15"/>
      <c r="L669" s="15"/>
      <c r="M669" s="15"/>
    </row>
    <row r="670" spans="2:13" ht="14">
      <c r="B670" s="15"/>
      <c r="C670" s="15"/>
      <c r="D670" s="15"/>
      <c r="E670" s="15"/>
      <c r="F670" s="15"/>
      <c r="G670" s="15"/>
      <c r="H670" s="19"/>
      <c r="I670" s="19"/>
      <c r="J670" s="15"/>
      <c r="K670" s="15"/>
      <c r="L670" s="15"/>
      <c r="M670" s="15"/>
    </row>
    <row r="671" spans="2:13" ht="14">
      <c r="B671" s="15"/>
      <c r="C671" s="15"/>
      <c r="D671" s="15"/>
      <c r="E671" s="15"/>
      <c r="F671" s="15"/>
      <c r="G671" s="15"/>
      <c r="H671" s="19"/>
      <c r="I671" s="19"/>
      <c r="J671" s="15"/>
      <c r="K671" s="15"/>
      <c r="L671" s="15"/>
      <c r="M671" s="15"/>
    </row>
    <row r="672" spans="2:13" ht="14">
      <c r="B672" s="15"/>
      <c r="C672" s="15"/>
      <c r="D672" s="15"/>
      <c r="E672" s="15"/>
      <c r="F672" s="15"/>
      <c r="G672" s="15"/>
      <c r="H672" s="19"/>
      <c r="I672" s="19"/>
      <c r="J672" s="15"/>
      <c r="K672" s="15"/>
      <c r="L672" s="15"/>
      <c r="M672" s="15"/>
    </row>
    <row r="673" spans="2:13" ht="14">
      <c r="B673" s="15"/>
      <c r="C673" s="15"/>
      <c r="D673" s="15"/>
      <c r="E673" s="15"/>
      <c r="F673" s="15"/>
      <c r="G673" s="15"/>
      <c r="H673" s="19"/>
      <c r="I673" s="19"/>
      <c r="J673" s="15"/>
      <c r="K673" s="15"/>
      <c r="L673" s="15"/>
      <c r="M673" s="15"/>
    </row>
    <row r="674" spans="2:13" ht="14">
      <c r="B674" s="15"/>
      <c r="C674" s="15"/>
      <c r="D674" s="15"/>
      <c r="E674" s="15"/>
      <c r="F674" s="15"/>
      <c r="G674" s="15"/>
      <c r="H674" s="19"/>
      <c r="I674" s="19"/>
      <c r="J674" s="15"/>
      <c r="K674" s="15"/>
      <c r="L674" s="15"/>
      <c r="M674" s="15"/>
    </row>
    <row r="675" spans="2:13" ht="14">
      <c r="B675" s="15"/>
      <c r="C675" s="15"/>
      <c r="D675" s="15"/>
      <c r="E675" s="15"/>
      <c r="F675" s="15"/>
      <c r="G675" s="15"/>
      <c r="H675" s="19"/>
      <c r="I675" s="19"/>
      <c r="J675" s="15"/>
      <c r="K675" s="15"/>
      <c r="L675" s="15"/>
      <c r="M675" s="15"/>
    </row>
    <row r="676" spans="2:13" ht="14">
      <c r="B676" s="15"/>
      <c r="C676" s="15"/>
      <c r="D676" s="15"/>
      <c r="E676" s="15"/>
      <c r="F676" s="15"/>
      <c r="G676" s="15"/>
      <c r="H676" s="19"/>
      <c r="I676" s="19"/>
      <c r="J676" s="15"/>
      <c r="K676" s="15"/>
      <c r="L676" s="15"/>
      <c r="M676" s="15"/>
    </row>
    <row r="677" spans="2:13" ht="14">
      <c r="B677" s="15"/>
      <c r="C677" s="15"/>
      <c r="D677" s="15"/>
      <c r="E677" s="15"/>
      <c r="F677" s="15"/>
      <c r="G677" s="15"/>
      <c r="H677" s="19"/>
      <c r="I677" s="19"/>
      <c r="J677" s="15"/>
      <c r="K677" s="15"/>
      <c r="L677" s="15"/>
      <c r="M677" s="15"/>
    </row>
    <row r="678" spans="2:13" ht="14">
      <c r="B678" s="15"/>
      <c r="C678" s="15"/>
      <c r="D678" s="15"/>
      <c r="E678" s="15"/>
      <c r="F678" s="15"/>
      <c r="G678" s="15"/>
      <c r="H678" s="19"/>
      <c r="I678" s="19"/>
      <c r="J678" s="15"/>
      <c r="K678" s="15"/>
      <c r="L678" s="15"/>
      <c r="M678" s="15"/>
    </row>
    <row r="679" spans="2:13" ht="14">
      <c r="B679" s="15"/>
      <c r="C679" s="15"/>
      <c r="D679" s="15"/>
      <c r="E679" s="15"/>
      <c r="F679" s="15"/>
      <c r="G679" s="15"/>
      <c r="H679" s="19"/>
      <c r="I679" s="19"/>
      <c r="J679" s="15"/>
      <c r="K679" s="15"/>
      <c r="L679" s="15"/>
      <c r="M679" s="15"/>
    </row>
    <row r="680" spans="2:13" ht="14">
      <c r="B680" s="15"/>
      <c r="C680" s="15"/>
      <c r="D680" s="15"/>
      <c r="E680" s="15"/>
      <c r="F680" s="15"/>
      <c r="G680" s="15"/>
      <c r="H680" s="19"/>
      <c r="I680" s="19"/>
      <c r="J680" s="15"/>
      <c r="K680" s="15"/>
      <c r="L680" s="15"/>
      <c r="M680" s="15"/>
    </row>
    <row r="681" spans="2:13" ht="14">
      <c r="B681" s="15"/>
      <c r="C681" s="15"/>
      <c r="D681" s="15"/>
      <c r="E681" s="15"/>
      <c r="F681" s="15"/>
      <c r="G681" s="15"/>
      <c r="H681" s="19"/>
      <c r="I681" s="19"/>
      <c r="J681" s="15"/>
      <c r="K681" s="15"/>
      <c r="L681" s="15"/>
      <c r="M681" s="15"/>
    </row>
    <row r="682" spans="2:13" ht="14">
      <c r="B682" s="15"/>
      <c r="C682" s="15"/>
      <c r="D682" s="15"/>
      <c r="E682" s="15"/>
      <c r="F682" s="15"/>
      <c r="G682" s="15"/>
      <c r="H682" s="19"/>
      <c r="I682" s="19"/>
      <c r="J682" s="15"/>
      <c r="K682" s="15"/>
      <c r="L682" s="15"/>
      <c r="M682" s="15"/>
    </row>
    <row r="683" spans="2:13" ht="14">
      <c r="B683" s="15"/>
      <c r="C683" s="15"/>
      <c r="D683" s="15"/>
      <c r="E683" s="15"/>
      <c r="F683" s="15"/>
      <c r="G683" s="15"/>
      <c r="H683" s="19"/>
      <c r="I683" s="19"/>
      <c r="J683" s="15"/>
      <c r="K683" s="15"/>
      <c r="L683" s="15"/>
      <c r="M683" s="15"/>
    </row>
    <row r="684" spans="2:13" ht="14">
      <c r="B684" s="15"/>
      <c r="C684" s="15"/>
      <c r="D684" s="15"/>
      <c r="E684" s="15"/>
      <c r="F684" s="15"/>
      <c r="G684" s="15"/>
      <c r="H684" s="19"/>
      <c r="I684" s="19"/>
      <c r="J684" s="15"/>
      <c r="K684" s="15"/>
      <c r="L684" s="15"/>
      <c r="M684" s="15"/>
    </row>
    <row r="685" spans="2:13" ht="14">
      <c r="B685" s="15"/>
      <c r="C685" s="15"/>
      <c r="D685" s="15"/>
      <c r="E685" s="15"/>
      <c r="F685" s="15"/>
      <c r="G685" s="15"/>
      <c r="H685" s="19"/>
      <c r="I685" s="19"/>
      <c r="J685" s="15"/>
      <c r="K685" s="15"/>
      <c r="L685" s="15"/>
      <c r="M685" s="15"/>
    </row>
    <row r="686" spans="2:13" ht="14">
      <c r="B686" s="15"/>
      <c r="C686" s="15"/>
      <c r="D686" s="15"/>
      <c r="E686" s="15"/>
      <c r="F686" s="15"/>
      <c r="G686" s="15"/>
      <c r="H686" s="19"/>
      <c r="I686" s="19"/>
      <c r="J686" s="15"/>
      <c r="K686" s="15"/>
      <c r="L686" s="15"/>
      <c r="M686" s="15"/>
    </row>
    <row r="687" spans="2:13" ht="14">
      <c r="B687" s="15"/>
      <c r="C687" s="15"/>
      <c r="D687" s="15"/>
      <c r="E687" s="15"/>
      <c r="F687" s="15"/>
      <c r="G687" s="15"/>
      <c r="H687" s="19"/>
      <c r="I687" s="19"/>
      <c r="J687" s="15"/>
      <c r="K687" s="15"/>
      <c r="L687" s="15"/>
      <c r="M687" s="15"/>
    </row>
    <row r="688" spans="2:13" ht="14">
      <c r="B688" s="15"/>
      <c r="C688" s="15"/>
      <c r="D688" s="15"/>
      <c r="E688" s="15"/>
      <c r="F688" s="15"/>
      <c r="G688" s="15"/>
      <c r="H688" s="19"/>
      <c r="I688" s="19"/>
      <c r="J688" s="15"/>
      <c r="K688" s="15"/>
      <c r="L688" s="15"/>
      <c r="M688" s="15"/>
    </row>
    <row r="689" spans="2:13" ht="14">
      <c r="B689" s="15"/>
      <c r="C689" s="15"/>
      <c r="D689" s="15"/>
      <c r="E689" s="15"/>
      <c r="F689" s="15"/>
      <c r="G689" s="15"/>
      <c r="H689" s="19"/>
      <c r="I689" s="19"/>
      <c r="J689" s="15"/>
      <c r="K689" s="15"/>
      <c r="L689" s="15"/>
      <c r="M689" s="15"/>
    </row>
    <row r="690" spans="2:13" ht="14">
      <c r="B690" s="15"/>
      <c r="C690" s="15"/>
      <c r="D690" s="15"/>
      <c r="E690" s="15"/>
      <c r="F690" s="15"/>
      <c r="G690" s="15"/>
      <c r="H690" s="19"/>
      <c r="I690" s="19"/>
      <c r="J690" s="15"/>
      <c r="K690" s="15"/>
      <c r="L690" s="15"/>
      <c r="M690" s="15"/>
    </row>
    <row r="691" spans="2:13" ht="14">
      <c r="B691" s="15"/>
      <c r="C691" s="15"/>
      <c r="D691" s="15"/>
      <c r="E691" s="15"/>
      <c r="F691" s="15"/>
      <c r="G691" s="15"/>
      <c r="H691" s="19"/>
      <c r="I691" s="19"/>
      <c r="J691" s="15"/>
      <c r="K691" s="15"/>
      <c r="L691" s="15"/>
      <c r="M691" s="15"/>
    </row>
    <row r="692" spans="2:13" ht="14">
      <c r="B692" s="15"/>
      <c r="C692" s="15"/>
      <c r="D692" s="15"/>
      <c r="E692" s="15"/>
      <c r="F692" s="15"/>
      <c r="G692" s="15"/>
      <c r="H692" s="19"/>
      <c r="I692" s="19"/>
      <c r="J692" s="15"/>
      <c r="K692" s="15"/>
      <c r="L692" s="15"/>
      <c r="M692" s="15"/>
    </row>
    <row r="693" spans="2:13" ht="14">
      <c r="B693" s="15"/>
      <c r="C693" s="15"/>
      <c r="D693" s="15"/>
      <c r="E693" s="15"/>
      <c r="F693" s="15"/>
      <c r="G693" s="15"/>
      <c r="H693" s="19"/>
      <c r="I693" s="19"/>
      <c r="J693" s="15"/>
      <c r="K693" s="15"/>
      <c r="L693" s="15"/>
      <c r="M693" s="15"/>
    </row>
    <row r="694" spans="2:13" ht="14">
      <c r="B694" s="15"/>
      <c r="C694" s="15"/>
      <c r="D694" s="15"/>
      <c r="E694" s="15"/>
      <c r="F694" s="15"/>
      <c r="G694" s="15"/>
      <c r="H694" s="19"/>
      <c r="I694" s="19"/>
      <c r="J694" s="15"/>
      <c r="K694" s="15"/>
      <c r="L694" s="15"/>
      <c r="M694" s="15"/>
    </row>
    <row r="695" spans="2:13" ht="14">
      <c r="B695" s="15"/>
      <c r="C695" s="15"/>
      <c r="D695" s="15"/>
      <c r="E695" s="15"/>
      <c r="F695" s="15"/>
      <c r="G695" s="15"/>
      <c r="H695" s="19"/>
      <c r="I695" s="19"/>
      <c r="J695" s="15"/>
      <c r="K695" s="15"/>
      <c r="L695" s="15"/>
      <c r="M695" s="15"/>
    </row>
    <row r="696" spans="2:13" ht="14">
      <c r="B696" s="15"/>
      <c r="C696" s="15"/>
      <c r="D696" s="15"/>
      <c r="E696" s="15"/>
      <c r="F696" s="15"/>
      <c r="G696" s="15"/>
      <c r="H696" s="19"/>
      <c r="I696" s="19"/>
      <c r="J696" s="15"/>
      <c r="K696" s="15"/>
      <c r="L696" s="15"/>
      <c r="M696" s="15"/>
    </row>
    <row r="697" spans="2:13" ht="14">
      <c r="B697" s="15"/>
      <c r="C697" s="15"/>
      <c r="D697" s="15"/>
      <c r="E697" s="15"/>
      <c r="F697" s="15"/>
      <c r="G697" s="15"/>
      <c r="H697" s="19"/>
      <c r="I697" s="19"/>
      <c r="J697" s="15"/>
      <c r="K697" s="15"/>
      <c r="L697" s="15"/>
      <c r="M697" s="15"/>
    </row>
    <row r="698" spans="2:13" ht="14">
      <c r="B698" s="15"/>
      <c r="C698" s="15"/>
      <c r="D698" s="15"/>
      <c r="E698" s="15"/>
      <c r="F698" s="15"/>
      <c r="G698" s="15"/>
      <c r="H698" s="19"/>
      <c r="I698" s="19"/>
      <c r="J698" s="15"/>
      <c r="K698" s="15"/>
      <c r="L698" s="15"/>
      <c r="M698" s="15"/>
    </row>
    <row r="699" spans="2:13" ht="14">
      <c r="B699" s="15"/>
      <c r="C699" s="15"/>
      <c r="D699" s="15"/>
      <c r="E699" s="15"/>
      <c r="F699" s="15"/>
      <c r="G699" s="15"/>
      <c r="H699" s="19"/>
      <c r="I699" s="19"/>
      <c r="J699" s="15"/>
      <c r="K699" s="15"/>
      <c r="L699" s="15"/>
      <c r="M699" s="15"/>
    </row>
    <row r="700" spans="2:13" ht="14">
      <c r="B700" s="15"/>
      <c r="C700" s="15"/>
      <c r="D700" s="15"/>
      <c r="E700" s="15"/>
      <c r="F700" s="15"/>
      <c r="G700" s="15"/>
      <c r="H700" s="19"/>
      <c r="I700" s="19"/>
      <c r="J700" s="15"/>
      <c r="K700" s="15"/>
      <c r="L700" s="15"/>
      <c r="M700" s="15"/>
    </row>
    <row r="701" spans="2:13" ht="14">
      <c r="B701" s="15"/>
      <c r="C701" s="15"/>
      <c r="D701" s="15"/>
      <c r="E701" s="15"/>
      <c r="F701" s="15"/>
      <c r="G701" s="15"/>
      <c r="H701" s="19"/>
      <c r="I701" s="19"/>
      <c r="J701" s="15"/>
      <c r="K701" s="15"/>
      <c r="L701" s="15"/>
      <c r="M701" s="15"/>
    </row>
    <row r="702" spans="2:13" ht="14">
      <c r="B702" s="15"/>
      <c r="C702" s="15"/>
      <c r="D702" s="15"/>
      <c r="E702" s="15"/>
      <c r="F702" s="15"/>
      <c r="G702" s="15"/>
      <c r="H702" s="19"/>
      <c r="I702" s="19"/>
      <c r="J702" s="15"/>
      <c r="K702" s="15"/>
      <c r="L702" s="15"/>
      <c r="M702" s="15"/>
    </row>
    <row r="703" spans="2:13" ht="14">
      <c r="B703" s="15"/>
      <c r="C703" s="15"/>
      <c r="D703" s="15"/>
      <c r="E703" s="15"/>
      <c r="F703" s="15"/>
      <c r="G703" s="15"/>
      <c r="H703" s="19"/>
      <c r="I703" s="19"/>
      <c r="J703" s="15"/>
      <c r="K703" s="15"/>
      <c r="L703" s="15"/>
      <c r="M703" s="15"/>
    </row>
    <row r="704" spans="2:13" ht="14">
      <c r="B704" s="15"/>
      <c r="C704" s="15"/>
      <c r="D704" s="15"/>
      <c r="E704" s="15"/>
      <c r="F704" s="15"/>
      <c r="G704" s="15"/>
      <c r="H704" s="19"/>
      <c r="I704" s="19"/>
      <c r="J704" s="15"/>
      <c r="K704" s="15"/>
      <c r="L704" s="15"/>
      <c r="M704" s="15"/>
    </row>
    <row r="705" spans="2:13" ht="14">
      <c r="B705" s="15"/>
      <c r="C705" s="15"/>
      <c r="D705" s="15"/>
      <c r="E705" s="15"/>
      <c r="F705" s="15"/>
      <c r="G705" s="15"/>
      <c r="H705" s="19"/>
      <c r="I705" s="19"/>
      <c r="J705" s="15"/>
      <c r="K705" s="15"/>
      <c r="L705" s="15"/>
      <c r="M705" s="15"/>
    </row>
    <row r="706" spans="2:13" ht="14">
      <c r="B706" s="15"/>
      <c r="C706" s="15"/>
      <c r="D706" s="15"/>
      <c r="E706" s="15"/>
      <c r="F706" s="15"/>
      <c r="G706" s="15"/>
      <c r="H706" s="19"/>
      <c r="I706" s="19"/>
      <c r="J706" s="15"/>
      <c r="K706" s="15"/>
      <c r="L706" s="15"/>
      <c r="M706" s="15"/>
    </row>
    <row r="707" spans="2:13" ht="14">
      <c r="B707" s="15"/>
      <c r="C707" s="15"/>
      <c r="D707" s="15"/>
      <c r="E707" s="15"/>
      <c r="F707" s="15"/>
      <c r="G707" s="15"/>
      <c r="H707" s="19"/>
      <c r="I707" s="19"/>
      <c r="J707" s="15"/>
      <c r="K707" s="15"/>
      <c r="L707" s="15"/>
      <c r="M707" s="15"/>
    </row>
    <row r="708" spans="2:13" ht="14">
      <c r="B708" s="15"/>
      <c r="C708" s="15"/>
      <c r="D708" s="15"/>
      <c r="E708" s="15"/>
      <c r="F708" s="15"/>
      <c r="G708" s="15"/>
      <c r="H708" s="19"/>
      <c r="I708" s="19"/>
      <c r="J708" s="15"/>
      <c r="K708" s="15"/>
      <c r="L708" s="15"/>
      <c r="M708" s="15"/>
    </row>
    <row r="709" spans="2:13" ht="14">
      <c r="B709" s="15"/>
      <c r="C709" s="15"/>
      <c r="D709" s="15"/>
      <c r="E709" s="15"/>
      <c r="F709" s="15"/>
      <c r="G709" s="15"/>
      <c r="H709" s="19"/>
      <c r="I709" s="19"/>
      <c r="J709" s="15"/>
      <c r="K709" s="15"/>
      <c r="L709" s="15"/>
      <c r="M709" s="15"/>
    </row>
    <row r="710" spans="2:13" ht="14">
      <c r="B710" s="15"/>
      <c r="C710" s="15"/>
      <c r="D710" s="15"/>
      <c r="E710" s="15"/>
      <c r="F710" s="15"/>
      <c r="G710" s="15"/>
      <c r="H710" s="19"/>
      <c r="I710" s="19"/>
      <c r="J710" s="15"/>
      <c r="K710" s="15"/>
      <c r="L710" s="15"/>
      <c r="M710" s="15"/>
    </row>
    <row r="711" spans="2:13" ht="14">
      <c r="B711" s="15"/>
      <c r="C711" s="15"/>
      <c r="D711" s="15"/>
      <c r="E711" s="15"/>
      <c r="F711" s="15"/>
      <c r="G711" s="15"/>
      <c r="H711" s="19"/>
      <c r="I711" s="19"/>
      <c r="J711" s="15"/>
      <c r="K711" s="15"/>
      <c r="L711" s="15"/>
      <c r="M711" s="15"/>
    </row>
    <row r="712" spans="2:13" ht="14">
      <c r="B712" s="15"/>
      <c r="C712" s="15"/>
      <c r="D712" s="15"/>
      <c r="E712" s="15"/>
      <c r="F712" s="15"/>
      <c r="G712" s="15"/>
      <c r="H712" s="19"/>
      <c r="I712" s="19"/>
      <c r="J712" s="15"/>
      <c r="K712" s="15"/>
      <c r="L712" s="15"/>
      <c r="M712" s="15"/>
    </row>
    <row r="713" spans="2:13" ht="14">
      <c r="B713" s="15"/>
      <c r="C713" s="15"/>
      <c r="D713" s="15"/>
      <c r="E713" s="15"/>
      <c r="F713" s="15"/>
      <c r="G713" s="15"/>
      <c r="H713" s="19"/>
      <c r="I713" s="19"/>
      <c r="J713" s="15"/>
      <c r="K713" s="15"/>
      <c r="L713" s="15"/>
      <c r="M713" s="15"/>
    </row>
    <row r="714" spans="2:13" ht="14">
      <c r="B714" s="15"/>
      <c r="C714" s="15"/>
      <c r="D714" s="15"/>
      <c r="E714" s="15"/>
      <c r="F714" s="15"/>
      <c r="G714" s="15"/>
      <c r="H714" s="19"/>
      <c r="I714" s="19"/>
      <c r="J714" s="15"/>
      <c r="K714" s="15"/>
      <c r="L714" s="15"/>
      <c r="M714" s="15"/>
    </row>
    <row r="715" spans="2:13" ht="14">
      <c r="B715" s="15"/>
      <c r="C715" s="15"/>
      <c r="D715" s="15"/>
      <c r="E715" s="15"/>
      <c r="F715" s="15"/>
      <c r="G715" s="15"/>
      <c r="H715" s="19"/>
      <c r="I715" s="19"/>
      <c r="J715" s="15"/>
      <c r="K715" s="15"/>
      <c r="L715" s="15"/>
      <c r="M715" s="15"/>
    </row>
    <row r="716" spans="2:13" ht="14">
      <c r="B716" s="15"/>
      <c r="C716" s="15"/>
      <c r="D716" s="15"/>
      <c r="E716" s="15"/>
      <c r="F716" s="15"/>
      <c r="G716" s="15"/>
      <c r="H716" s="19"/>
      <c r="I716" s="19"/>
      <c r="J716" s="15"/>
      <c r="K716" s="15"/>
      <c r="L716" s="15"/>
      <c r="M716" s="15"/>
    </row>
    <row r="717" spans="2:13" ht="14">
      <c r="B717" s="15"/>
      <c r="C717" s="15"/>
      <c r="D717" s="15"/>
      <c r="E717" s="15"/>
      <c r="F717" s="15"/>
      <c r="G717" s="15"/>
      <c r="H717" s="19"/>
      <c r="I717" s="19"/>
      <c r="J717" s="15"/>
      <c r="K717" s="15"/>
      <c r="L717" s="15"/>
      <c r="M717" s="15"/>
    </row>
    <row r="718" spans="2:13" ht="14">
      <c r="B718" s="15"/>
      <c r="C718" s="15"/>
      <c r="D718" s="15"/>
      <c r="E718" s="15"/>
      <c r="F718" s="15"/>
      <c r="G718" s="15"/>
      <c r="H718" s="19"/>
      <c r="I718" s="19"/>
      <c r="J718" s="15"/>
      <c r="K718" s="15"/>
      <c r="L718" s="15"/>
      <c r="M718" s="15"/>
    </row>
    <row r="719" spans="2:13" ht="14">
      <c r="B719" s="15"/>
      <c r="C719" s="15"/>
      <c r="D719" s="15"/>
      <c r="E719" s="15"/>
      <c r="F719" s="15"/>
      <c r="G719" s="15"/>
      <c r="H719" s="19"/>
      <c r="I719" s="19"/>
      <c r="J719" s="15"/>
      <c r="K719" s="15"/>
      <c r="L719" s="15"/>
      <c r="M719" s="15"/>
    </row>
    <row r="720" spans="2:13" ht="14">
      <c r="B720" s="15"/>
      <c r="C720" s="15"/>
      <c r="D720" s="15"/>
      <c r="E720" s="15"/>
      <c r="F720" s="15"/>
      <c r="G720" s="15"/>
      <c r="H720" s="19"/>
      <c r="I720" s="19"/>
      <c r="J720" s="15"/>
      <c r="K720" s="15"/>
      <c r="L720" s="15"/>
      <c r="M720" s="15"/>
    </row>
    <row r="721" spans="2:13" ht="14">
      <c r="B721" s="15"/>
      <c r="C721" s="15"/>
      <c r="D721" s="15"/>
      <c r="E721" s="15"/>
      <c r="F721" s="15"/>
      <c r="G721" s="15"/>
      <c r="H721" s="19"/>
      <c r="I721" s="19"/>
      <c r="J721" s="15"/>
      <c r="K721" s="15"/>
      <c r="L721" s="15"/>
      <c r="M721" s="15"/>
    </row>
    <row r="722" spans="2:13" ht="14">
      <c r="B722" s="15"/>
      <c r="C722" s="15"/>
      <c r="D722" s="15"/>
      <c r="E722" s="15"/>
      <c r="F722" s="15"/>
      <c r="G722" s="15"/>
      <c r="H722" s="19"/>
      <c r="I722" s="19"/>
      <c r="J722" s="15"/>
      <c r="K722" s="15"/>
      <c r="L722" s="15"/>
      <c r="M722" s="15"/>
    </row>
    <row r="723" spans="2:13" ht="14">
      <c r="B723" s="15"/>
      <c r="C723" s="15"/>
      <c r="D723" s="15"/>
      <c r="E723" s="15"/>
      <c r="F723" s="15"/>
      <c r="G723" s="15"/>
      <c r="H723" s="19"/>
      <c r="I723" s="19"/>
      <c r="J723" s="15"/>
      <c r="K723" s="15"/>
      <c r="L723" s="15"/>
      <c r="M723" s="15"/>
    </row>
    <row r="724" spans="2:13" ht="14">
      <c r="B724" s="15"/>
      <c r="C724" s="15"/>
      <c r="D724" s="15"/>
      <c r="E724" s="15"/>
      <c r="F724" s="15"/>
      <c r="G724" s="15"/>
      <c r="H724" s="19"/>
      <c r="I724" s="19"/>
      <c r="J724" s="15"/>
      <c r="K724" s="15"/>
      <c r="L724" s="15"/>
      <c r="M724" s="15"/>
    </row>
    <row r="725" spans="2:13" ht="14">
      <c r="B725" s="15"/>
      <c r="C725" s="15"/>
      <c r="D725" s="15"/>
      <c r="E725" s="15"/>
      <c r="F725" s="15"/>
      <c r="G725" s="15"/>
      <c r="H725" s="19"/>
      <c r="I725" s="19"/>
      <c r="J725" s="15"/>
      <c r="K725" s="15"/>
      <c r="L725" s="15"/>
      <c r="M725" s="15"/>
    </row>
    <row r="726" spans="2:13" ht="14">
      <c r="B726" s="15"/>
      <c r="C726" s="15"/>
      <c r="D726" s="15"/>
      <c r="E726" s="15"/>
      <c r="F726" s="15"/>
      <c r="G726" s="15"/>
      <c r="H726" s="19"/>
      <c r="I726" s="19"/>
      <c r="J726" s="15"/>
      <c r="K726" s="15"/>
      <c r="L726" s="15"/>
      <c r="M726" s="15"/>
    </row>
    <row r="727" spans="2:13" ht="14">
      <c r="B727" s="15"/>
      <c r="C727" s="15"/>
      <c r="D727" s="15"/>
      <c r="E727" s="15"/>
      <c r="F727" s="15"/>
      <c r="G727" s="15"/>
      <c r="H727" s="19"/>
      <c r="I727" s="19"/>
      <c r="J727" s="15"/>
      <c r="K727" s="15"/>
      <c r="L727" s="15"/>
      <c r="M727" s="15"/>
    </row>
    <row r="728" spans="2:13" ht="14">
      <c r="B728" s="15"/>
      <c r="C728" s="15"/>
      <c r="D728" s="15"/>
      <c r="E728" s="15"/>
      <c r="F728" s="15"/>
      <c r="G728" s="15"/>
      <c r="H728" s="19"/>
      <c r="I728" s="19"/>
      <c r="J728" s="15"/>
      <c r="K728" s="15"/>
      <c r="L728" s="15"/>
      <c r="M728" s="15"/>
    </row>
    <row r="729" spans="2:13" ht="14">
      <c r="B729" s="15"/>
      <c r="C729" s="15"/>
      <c r="D729" s="15"/>
      <c r="E729" s="15"/>
      <c r="F729" s="15"/>
      <c r="G729" s="15"/>
      <c r="H729" s="19"/>
      <c r="I729" s="19"/>
      <c r="J729" s="15"/>
      <c r="K729" s="15"/>
      <c r="L729" s="15"/>
      <c r="M729" s="15"/>
    </row>
    <row r="730" spans="2:13" ht="14">
      <c r="B730" s="15"/>
      <c r="C730" s="15"/>
      <c r="D730" s="15"/>
      <c r="E730" s="15"/>
      <c r="F730" s="15"/>
      <c r="G730" s="15"/>
      <c r="H730" s="19"/>
      <c r="I730" s="19"/>
      <c r="J730" s="15"/>
      <c r="K730" s="15"/>
      <c r="L730" s="15"/>
      <c r="M730" s="15"/>
    </row>
    <row r="731" spans="2:13" ht="14">
      <c r="B731" s="15"/>
      <c r="C731" s="15"/>
      <c r="D731" s="15"/>
      <c r="E731" s="15"/>
      <c r="F731" s="15"/>
      <c r="G731" s="15"/>
      <c r="H731" s="19"/>
      <c r="I731" s="19"/>
      <c r="J731" s="15"/>
      <c r="K731" s="15"/>
      <c r="L731" s="15"/>
      <c r="M731" s="15"/>
    </row>
    <row r="732" spans="2:13" ht="14">
      <c r="B732" s="15"/>
      <c r="C732" s="15"/>
      <c r="D732" s="15"/>
      <c r="E732" s="15"/>
      <c r="F732" s="15"/>
      <c r="G732" s="15"/>
      <c r="H732" s="19"/>
      <c r="I732" s="19"/>
      <c r="J732" s="15"/>
      <c r="K732" s="15"/>
      <c r="L732" s="15"/>
      <c r="M732" s="15"/>
    </row>
    <row r="733" spans="2:13" ht="14">
      <c r="B733" s="15"/>
      <c r="C733" s="15"/>
      <c r="D733" s="15"/>
      <c r="E733" s="15"/>
      <c r="F733" s="15"/>
      <c r="G733" s="15"/>
      <c r="H733" s="19"/>
      <c r="I733" s="19"/>
      <c r="J733" s="15"/>
      <c r="K733" s="15"/>
      <c r="L733" s="15"/>
      <c r="M733" s="15"/>
    </row>
    <row r="734" spans="2:13" ht="14">
      <c r="B734" s="15"/>
      <c r="C734" s="15"/>
      <c r="D734" s="15"/>
      <c r="E734" s="15"/>
      <c r="F734" s="15"/>
      <c r="G734" s="15"/>
      <c r="H734" s="19"/>
      <c r="I734" s="19"/>
      <c r="J734" s="15"/>
      <c r="K734" s="15"/>
      <c r="L734" s="15"/>
      <c r="M734" s="15"/>
    </row>
    <row r="735" spans="2:13" ht="14">
      <c r="B735" s="15"/>
      <c r="C735" s="15"/>
      <c r="D735" s="15"/>
      <c r="E735" s="15"/>
      <c r="F735" s="15"/>
      <c r="G735" s="15"/>
      <c r="H735" s="19"/>
      <c r="I735" s="19"/>
      <c r="J735" s="15"/>
      <c r="K735" s="15"/>
      <c r="L735" s="15"/>
      <c r="M735" s="15"/>
    </row>
    <row r="736" spans="2:13" ht="14">
      <c r="B736" s="15"/>
      <c r="C736" s="15"/>
      <c r="D736" s="15"/>
      <c r="E736" s="15"/>
      <c r="F736" s="15"/>
      <c r="G736" s="15"/>
      <c r="H736" s="19"/>
      <c r="I736" s="19"/>
      <c r="J736" s="15"/>
      <c r="K736" s="15"/>
      <c r="L736" s="15"/>
      <c r="M736" s="15"/>
    </row>
    <row r="737" spans="2:13" ht="14">
      <c r="B737" s="15"/>
      <c r="C737" s="15"/>
      <c r="D737" s="15"/>
      <c r="E737" s="15"/>
      <c r="F737" s="15"/>
      <c r="G737" s="15"/>
      <c r="H737" s="19"/>
      <c r="I737" s="19"/>
      <c r="J737" s="15"/>
      <c r="K737" s="15"/>
      <c r="L737" s="15"/>
      <c r="M737" s="15"/>
    </row>
    <row r="738" spans="2:13" ht="14">
      <c r="B738" s="15"/>
      <c r="C738" s="15"/>
      <c r="D738" s="15"/>
      <c r="E738" s="15"/>
      <c r="F738" s="15"/>
      <c r="G738" s="15"/>
      <c r="H738" s="19"/>
      <c r="I738" s="19"/>
      <c r="J738" s="15"/>
      <c r="K738" s="15"/>
      <c r="L738" s="15"/>
      <c r="M738" s="15"/>
    </row>
    <row r="739" spans="2:13" ht="14">
      <c r="B739" s="15"/>
      <c r="C739" s="15"/>
      <c r="D739" s="15"/>
      <c r="E739" s="15"/>
      <c r="F739" s="15"/>
      <c r="G739" s="15"/>
      <c r="H739" s="19"/>
      <c r="I739" s="19"/>
      <c r="J739" s="15"/>
      <c r="K739" s="15"/>
      <c r="L739" s="15"/>
      <c r="M739" s="15"/>
    </row>
    <row r="740" spans="2:13" ht="14">
      <c r="B740" s="15"/>
      <c r="C740" s="15"/>
      <c r="D740" s="15"/>
      <c r="E740" s="15"/>
      <c r="F740" s="15"/>
      <c r="G740" s="15"/>
      <c r="H740" s="19"/>
      <c r="I740" s="19"/>
      <c r="J740" s="15"/>
      <c r="K740" s="15"/>
      <c r="L740" s="15"/>
      <c r="M740" s="15"/>
    </row>
    <row r="741" spans="2:13" ht="14">
      <c r="B741" s="15"/>
      <c r="C741" s="15"/>
      <c r="D741" s="15"/>
      <c r="E741" s="15"/>
      <c r="F741" s="15"/>
      <c r="G741" s="15"/>
      <c r="H741" s="19"/>
      <c r="I741" s="19"/>
      <c r="J741" s="15"/>
      <c r="K741" s="15"/>
      <c r="L741" s="15"/>
      <c r="M741" s="15"/>
    </row>
    <row r="742" spans="2:13" ht="14">
      <c r="B742" s="15"/>
      <c r="C742" s="15"/>
      <c r="D742" s="15"/>
      <c r="E742" s="15"/>
      <c r="F742" s="15"/>
      <c r="G742" s="15"/>
      <c r="H742" s="19"/>
      <c r="I742" s="19"/>
      <c r="J742" s="15"/>
      <c r="K742" s="15"/>
      <c r="L742" s="15"/>
      <c r="M742" s="15"/>
    </row>
    <row r="743" spans="2:13" ht="14">
      <c r="B743" s="15"/>
      <c r="C743" s="15"/>
      <c r="D743" s="15"/>
      <c r="E743" s="15"/>
      <c r="F743" s="15"/>
      <c r="G743" s="15"/>
      <c r="H743" s="19"/>
      <c r="I743" s="19"/>
      <c r="J743" s="15"/>
      <c r="K743" s="15"/>
      <c r="L743" s="15"/>
      <c r="M743" s="15"/>
    </row>
    <row r="744" spans="2:13" ht="14">
      <c r="B744" s="15"/>
      <c r="C744" s="15"/>
      <c r="D744" s="15"/>
      <c r="E744" s="15"/>
      <c r="F744" s="15"/>
      <c r="G744" s="15"/>
      <c r="H744" s="19"/>
      <c r="I744" s="19"/>
      <c r="J744" s="15"/>
      <c r="K744" s="15"/>
      <c r="L744" s="15"/>
      <c r="M744" s="15"/>
    </row>
    <row r="745" spans="2:13" ht="14">
      <c r="B745" s="15"/>
      <c r="C745" s="15"/>
      <c r="D745" s="15"/>
      <c r="E745" s="15"/>
      <c r="F745" s="15"/>
      <c r="G745" s="15"/>
      <c r="H745" s="19"/>
      <c r="I745" s="19"/>
      <c r="J745" s="15"/>
      <c r="K745" s="15"/>
      <c r="L745" s="15"/>
      <c r="M745" s="15"/>
    </row>
    <row r="746" spans="2:13" ht="14">
      <c r="B746" s="15"/>
      <c r="C746" s="15"/>
      <c r="D746" s="15"/>
      <c r="E746" s="15"/>
      <c r="F746" s="15"/>
      <c r="G746" s="15"/>
      <c r="H746" s="19"/>
      <c r="I746" s="19"/>
      <c r="J746" s="15"/>
      <c r="K746" s="15"/>
      <c r="L746" s="15"/>
      <c r="M746" s="15"/>
    </row>
    <row r="747" spans="2:13" ht="14">
      <c r="B747" s="15"/>
      <c r="C747" s="15"/>
      <c r="D747" s="15"/>
      <c r="E747" s="15"/>
      <c r="F747" s="15"/>
      <c r="G747" s="15"/>
      <c r="H747" s="19"/>
      <c r="I747" s="19"/>
      <c r="J747" s="15"/>
      <c r="K747" s="15"/>
      <c r="L747" s="15"/>
      <c r="M747" s="15"/>
    </row>
    <row r="748" spans="2:13" ht="14">
      <c r="B748" s="15"/>
      <c r="C748" s="15"/>
      <c r="D748" s="15"/>
      <c r="E748" s="15"/>
      <c r="F748" s="15"/>
      <c r="G748" s="15"/>
      <c r="H748" s="19"/>
      <c r="I748" s="19"/>
      <c r="J748" s="15"/>
      <c r="K748" s="15"/>
      <c r="L748" s="15"/>
      <c r="M748" s="15"/>
    </row>
    <row r="749" spans="2:13" ht="14">
      <c r="B749" s="15"/>
      <c r="C749" s="15"/>
      <c r="D749" s="15"/>
      <c r="E749" s="15"/>
      <c r="F749" s="15"/>
      <c r="G749" s="15"/>
      <c r="H749" s="19"/>
      <c r="I749" s="19"/>
      <c r="J749" s="15"/>
      <c r="K749" s="15"/>
      <c r="L749" s="15"/>
      <c r="M749" s="15"/>
    </row>
    <row r="750" spans="2:13" ht="14">
      <c r="B750" s="15"/>
      <c r="C750" s="15"/>
      <c r="D750" s="15"/>
      <c r="E750" s="15"/>
      <c r="F750" s="15"/>
      <c r="G750" s="15"/>
      <c r="H750" s="19"/>
      <c r="I750" s="19"/>
      <c r="J750" s="15"/>
      <c r="K750" s="15"/>
      <c r="L750" s="15"/>
      <c r="M750" s="15"/>
    </row>
    <row r="751" spans="2:13" ht="14">
      <c r="B751" s="15"/>
      <c r="C751" s="15"/>
      <c r="D751" s="15"/>
      <c r="E751" s="15"/>
      <c r="F751" s="15"/>
      <c r="G751" s="15"/>
      <c r="H751" s="19"/>
      <c r="I751" s="19"/>
      <c r="J751" s="15"/>
      <c r="K751" s="15"/>
      <c r="L751" s="15"/>
      <c r="M751" s="15"/>
    </row>
    <row r="752" spans="2:13" ht="14">
      <c r="B752" s="15"/>
      <c r="C752" s="15"/>
      <c r="D752" s="15"/>
      <c r="E752" s="15"/>
      <c r="F752" s="15"/>
      <c r="G752" s="15"/>
      <c r="H752" s="19"/>
      <c r="I752" s="19"/>
      <c r="J752" s="15"/>
      <c r="K752" s="15"/>
      <c r="L752" s="15"/>
      <c r="M752" s="15"/>
    </row>
    <row r="753" spans="2:13" ht="14">
      <c r="B753" s="15"/>
      <c r="C753" s="15"/>
      <c r="D753" s="15"/>
      <c r="E753" s="15"/>
      <c r="F753" s="15"/>
      <c r="G753" s="15"/>
      <c r="H753" s="19"/>
      <c r="I753" s="19"/>
      <c r="J753" s="15"/>
      <c r="K753" s="15"/>
      <c r="L753" s="15"/>
      <c r="M753" s="15"/>
    </row>
    <row r="754" spans="2:13" ht="14">
      <c r="B754" s="15"/>
      <c r="C754" s="15"/>
      <c r="D754" s="15"/>
      <c r="E754" s="15"/>
      <c r="F754" s="15"/>
      <c r="G754" s="15"/>
      <c r="H754" s="19"/>
      <c r="I754" s="19"/>
      <c r="J754" s="15"/>
      <c r="K754" s="15"/>
      <c r="L754" s="15"/>
      <c r="M754" s="15"/>
    </row>
    <row r="755" spans="2:13" ht="14">
      <c r="B755" s="15"/>
      <c r="C755" s="15"/>
      <c r="D755" s="15"/>
      <c r="E755" s="15"/>
      <c r="F755" s="15"/>
      <c r="G755" s="15"/>
      <c r="H755" s="19"/>
      <c r="I755" s="19"/>
      <c r="J755" s="15"/>
      <c r="K755" s="15"/>
      <c r="L755" s="15"/>
      <c r="M755" s="15"/>
    </row>
    <row r="756" spans="2:13" ht="14">
      <c r="B756" s="15"/>
      <c r="C756" s="15"/>
      <c r="D756" s="15"/>
      <c r="E756" s="15"/>
      <c r="F756" s="15"/>
      <c r="G756" s="15"/>
      <c r="H756" s="19"/>
      <c r="I756" s="19"/>
      <c r="J756" s="15"/>
      <c r="K756" s="15"/>
      <c r="L756" s="15"/>
      <c r="M756" s="15"/>
    </row>
    <row r="757" spans="2:13" ht="14">
      <c r="B757" s="15"/>
      <c r="C757" s="15"/>
      <c r="D757" s="15"/>
      <c r="E757" s="15"/>
      <c r="F757" s="15"/>
      <c r="G757" s="15"/>
      <c r="H757" s="19"/>
      <c r="I757" s="19"/>
      <c r="J757" s="15"/>
      <c r="K757" s="15"/>
      <c r="L757" s="15"/>
      <c r="M757" s="15"/>
    </row>
    <row r="758" spans="2:13" ht="14">
      <c r="B758" s="15"/>
      <c r="C758" s="15"/>
      <c r="D758" s="15"/>
      <c r="E758" s="15"/>
      <c r="F758" s="15"/>
      <c r="G758" s="15"/>
      <c r="H758" s="19"/>
      <c r="I758" s="19"/>
      <c r="J758" s="15"/>
      <c r="K758" s="15"/>
      <c r="L758" s="15"/>
      <c r="M758" s="15"/>
    </row>
    <row r="759" spans="2:13" ht="14">
      <c r="B759" s="15"/>
      <c r="C759" s="15"/>
      <c r="D759" s="15"/>
      <c r="E759" s="15"/>
      <c r="F759" s="15"/>
      <c r="G759" s="15"/>
      <c r="H759" s="19"/>
      <c r="I759" s="19"/>
      <c r="J759" s="15"/>
      <c r="K759" s="15"/>
      <c r="L759" s="15"/>
      <c r="M759" s="15"/>
    </row>
    <row r="760" spans="2:13" ht="14">
      <c r="B760" s="15"/>
      <c r="C760" s="15"/>
      <c r="D760" s="15"/>
      <c r="E760" s="15"/>
      <c r="F760" s="15"/>
      <c r="G760" s="15"/>
      <c r="H760" s="19"/>
      <c r="I760" s="19"/>
      <c r="J760" s="15"/>
      <c r="K760" s="15"/>
      <c r="L760" s="15"/>
      <c r="M760" s="15"/>
    </row>
    <row r="761" spans="2:13" ht="14">
      <c r="B761" s="15"/>
      <c r="C761" s="15"/>
      <c r="D761" s="15"/>
      <c r="E761" s="15"/>
      <c r="F761" s="15"/>
      <c r="G761" s="15"/>
      <c r="H761" s="19"/>
      <c r="I761" s="19"/>
      <c r="J761" s="15"/>
      <c r="K761" s="15"/>
      <c r="L761" s="15"/>
      <c r="M761" s="15"/>
    </row>
    <row r="762" spans="2:13" ht="14">
      <c r="B762" s="15"/>
      <c r="C762" s="15"/>
      <c r="D762" s="15"/>
      <c r="E762" s="15"/>
      <c r="F762" s="15"/>
      <c r="G762" s="15"/>
      <c r="H762" s="19"/>
      <c r="I762" s="19"/>
      <c r="J762" s="15"/>
      <c r="K762" s="15"/>
      <c r="L762" s="15"/>
      <c r="M762" s="15"/>
    </row>
    <row r="763" spans="2:13" ht="14">
      <c r="B763" s="15"/>
      <c r="C763" s="15"/>
      <c r="D763" s="15"/>
      <c r="E763" s="15"/>
      <c r="F763" s="15"/>
      <c r="G763" s="15"/>
      <c r="H763" s="19"/>
      <c r="I763" s="19"/>
      <c r="J763" s="15"/>
      <c r="K763" s="15"/>
      <c r="L763" s="15"/>
      <c r="M763" s="15"/>
    </row>
    <row r="764" spans="2:13" ht="14">
      <c r="B764" s="15"/>
      <c r="C764" s="15"/>
      <c r="D764" s="15"/>
      <c r="E764" s="15"/>
      <c r="F764" s="15"/>
      <c r="G764" s="15"/>
      <c r="H764" s="19"/>
      <c r="I764" s="19"/>
      <c r="J764" s="15"/>
      <c r="K764" s="15"/>
      <c r="L764" s="15"/>
      <c r="M764" s="15"/>
    </row>
    <row r="765" spans="2:13" ht="14">
      <c r="B765" s="15"/>
      <c r="C765" s="15"/>
      <c r="D765" s="15"/>
      <c r="E765" s="15"/>
      <c r="F765" s="15"/>
      <c r="G765" s="15"/>
      <c r="H765" s="19"/>
      <c r="I765" s="19"/>
      <c r="J765" s="15"/>
      <c r="K765" s="15"/>
      <c r="L765" s="15"/>
      <c r="M765" s="15"/>
    </row>
    <row r="766" spans="2:13" ht="14">
      <c r="B766" s="15"/>
      <c r="C766" s="15"/>
      <c r="D766" s="15"/>
      <c r="E766" s="15"/>
      <c r="F766" s="15"/>
      <c r="G766" s="15"/>
      <c r="H766" s="19"/>
      <c r="I766" s="19"/>
      <c r="J766" s="15"/>
      <c r="K766" s="15"/>
      <c r="L766" s="15"/>
      <c r="M766" s="15"/>
    </row>
    <row r="767" spans="2:13" ht="14">
      <c r="B767" s="15"/>
      <c r="C767" s="15"/>
      <c r="D767" s="15"/>
      <c r="E767" s="15"/>
      <c r="F767" s="15"/>
      <c r="G767" s="15"/>
      <c r="H767" s="19"/>
      <c r="I767" s="19"/>
      <c r="J767" s="15"/>
      <c r="K767" s="15"/>
      <c r="L767" s="15"/>
      <c r="M767" s="15"/>
    </row>
    <row r="768" spans="2:13" ht="14">
      <c r="B768" s="15"/>
      <c r="C768" s="15"/>
      <c r="D768" s="15"/>
      <c r="E768" s="15"/>
      <c r="F768" s="15"/>
      <c r="G768" s="15"/>
      <c r="H768" s="19"/>
      <c r="I768" s="19"/>
      <c r="J768" s="15"/>
      <c r="K768" s="15"/>
      <c r="L768" s="15"/>
      <c r="M768" s="15"/>
    </row>
    <row r="769" spans="2:13" ht="14">
      <c r="B769" s="15"/>
      <c r="C769" s="15"/>
      <c r="D769" s="15"/>
      <c r="E769" s="15"/>
      <c r="F769" s="15"/>
      <c r="G769" s="15"/>
      <c r="H769" s="19"/>
      <c r="I769" s="19"/>
      <c r="J769" s="15"/>
      <c r="K769" s="15"/>
      <c r="L769" s="15"/>
      <c r="M769" s="15"/>
    </row>
    <row r="770" spans="2:13" ht="14">
      <c r="B770" s="15"/>
      <c r="C770" s="15"/>
      <c r="D770" s="15"/>
      <c r="E770" s="15"/>
      <c r="F770" s="15"/>
      <c r="G770" s="15"/>
      <c r="H770" s="19"/>
      <c r="I770" s="19"/>
      <c r="J770" s="15"/>
      <c r="K770" s="15"/>
      <c r="L770" s="15"/>
      <c r="M770" s="15"/>
    </row>
    <row r="771" spans="2:13" ht="14">
      <c r="B771" s="15"/>
      <c r="C771" s="15"/>
      <c r="D771" s="15"/>
      <c r="E771" s="15"/>
      <c r="F771" s="15"/>
      <c r="G771" s="15"/>
      <c r="H771" s="19"/>
      <c r="I771" s="19"/>
      <c r="J771" s="15"/>
      <c r="K771" s="15"/>
      <c r="L771" s="15"/>
      <c r="M771" s="15"/>
    </row>
    <row r="772" spans="2:13" ht="14">
      <c r="B772" s="15"/>
      <c r="C772" s="15"/>
      <c r="D772" s="15"/>
      <c r="E772" s="15"/>
      <c r="F772" s="15"/>
      <c r="G772" s="15"/>
      <c r="H772" s="19"/>
      <c r="I772" s="19"/>
      <c r="J772" s="15"/>
      <c r="K772" s="15"/>
      <c r="L772" s="15"/>
      <c r="M772" s="15"/>
    </row>
    <row r="773" spans="2:13" ht="14">
      <c r="B773" s="15"/>
      <c r="C773" s="15"/>
      <c r="D773" s="15"/>
      <c r="E773" s="15"/>
      <c r="F773" s="15"/>
      <c r="G773" s="15"/>
      <c r="H773" s="19"/>
      <c r="I773" s="19"/>
      <c r="J773" s="15"/>
      <c r="K773" s="15"/>
      <c r="L773" s="15"/>
      <c r="M773" s="15"/>
    </row>
    <row r="774" spans="2:13" ht="14">
      <c r="B774" s="15"/>
      <c r="C774" s="15"/>
      <c r="D774" s="15"/>
      <c r="E774" s="15"/>
      <c r="F774" s="15"/>
      <c r="G774" s="15"/>
      <c r="H774" s="19"/>
      <c r="I774" s="19"/>
      <c r="J774" s="15"/>
      <c r="K774" s="15"/>
      <c r="L774" s="15"/>
      <c r="M774" s="15"/>
    </row>
    <row r="775" spans="2:13" ht="14">
      <c r="B775" s="15"/>
      <c r="C775" s="15"/>
      <c r="D775" s="15"/>
      <c r="E775" s="15"/>
      <c r="F775" s="15"/>
      <c r="G775" s="15"/>
      <c r="H775" s="19"/>
      <c r="I775" s="19"/>
      <c r="J775" s="15"/>
      <c r="K775" s="15"/>
      <c r="L775" s="15"/>
      <c r="M775" s="15"/>
    </row>
    <row r="776" spans="2:13" ht="14">
      <c r="B776" s="15"/>
      <c r="C776" s="15"/>
      <c r="D776" s="15"/>
      <c r="E776" s="15"/>
      <c r="F776" s="15"/>
      <c r="G776" s="15"/>
      <c r="H776" s="19"/>
      <c r="I776" s="19"/>
      <c r="J776" s="15"/>
      <c r="K776" s="15"/>
      <c r="L776" s="15"/>
      <c r="M776" s="15"/>
    </row>
    <row r="777" spans="2:13" ht="14">
      <c r="B777" s="15"/>
      <c r="C777" s="15"/>
      <c r="D777" s="15"/>
      <c r="E777" s="15"/>
      <c r="F777" s="15"/>
      <c r="G777" s="15"/>
      <c r="H777" s="19"/>
      <c r="I777" s="19"/>
      <c r="J777" s="15"/>
      <c r="K777" s="15"/>
      <c r="L777" s="15"/>
      <c r="M777" s="15"/>
    </row>
    <row r="778" spans="2:13" ht="14">
      <c r="B778" s="15"/>
      <c r="C778" s="15"/>
      <c r="D778" s="15"/>
      <c r="E778" s="15"/>
      <c r="F778" s="15"/>
      <c r="G778" s="15"/>
      <c r="H778" s="19"/>
      <c r="I778" s="19"/>
      <c r="J778" s="15"/>
      <c r="K778" s="15"/>
      <c r="L778" s="15"/>
      <c r="M778" s="15"/>
    </row>
    <row r="779" spans="2:13" ht="14">
      <c r="B779" s="15"/>
      <c r="C779" s="15"/>
      <c r="D779" s="15"/>
      <c r="E779" s="15"/>
      <c r="F779" s="15"/>
      <c r="G779" s="15"/>
      <c r="H779" s="19"/>
      <c r="I779" s="19"/>
      <c r="J779" s="15"/>
      <c r="K779" s="15"/>
      <c r="L779" s="15"/>
      <c r="M779" s="15"/>
    </row>
    <row r="780" spans="2:13" ht="14">
      <c r="B780" s="15"/>
      <c r="C780" s="15"/>
      <c r="D780" s="15"/>
      <c r="E780" s="15"/>
      <c r="F780" s="15"/>
      <c r="G780" s="15"/>
      <c r="H780" s="19"/>
      <c r="I780" s="19"/>
      <c r="J780" s="15"/>
      <c r="K780" s="15"/>
      <c r="L780" s="15"/>
      <c r="M780" s="15"/>
    </row>
    <row r="781" spans="2:13" ht="14">
      <c r="B781" s="15"/>
      <c r="C781" s="15"/>
      <c r="D781" s="15"/>
      <c r="E781" s="15"/>
      <c r="F781" s="15"/>
      <c r="G781" s="15"/>
      <c r="H781" s="19"/>
      <c r="I781" s="19"/>
      <c r="J781" s="15"/>
      <c r="K781" s="15"/>
      <c r="L781" s="15"/>
      <c r="M781" s="15"/>
    </row>
    <row r="782" spans="2:13" ht="14">
      <c r="B782" s="15"/>
      <c r="C782" s="15"/>
      <c r="D782" s="15"/>
      <c r="E782" s="15"/>
      <c r="F782" s="15"/>
      <c r="G782" s="15"/>
      <c r="H782" s="19"/>
      <c r="I782" s="19"/>
      <c r="J782" s="15"/>
      <c r="K782" s="15"/>
      <c r="L782" s="15"/>
      <c r="M782" s="15"/>
    </row>
    <row r="783" spans="2:13" ht="14">
      <c r="B783" s="15"/>
      <c r="C783" s="15"/>
      <c r="D783" s="15"/>
      <c r="E783" s="15"/>
      <c r="F783" s="15"/>
      <c r="G783" s="15"/>
      <c r="H783" s="19"/>
      <c r="I783" s="19"/>
      <c r="J783" s="15"/>
      <c r="K783" s="15"/>
      <c r="L783" s="15"/>
      <c r="M783" s="15"/>
    </row>
    <row r="784" spans="2:13" ht="14">
      <c r="B784" s="15"/>
      <c r="C784" s="15"/>
      <c r="D784" s="15"/>
      <c r="E784" s="15"/>
      <c r="F784" s="15"/>
      <c r="G784" s="15"/>
      <c r="H784" s="19"/>
      <c r="I784" s="19"/>
      <c r="J784" s="15"/>
      <c r="K784" s="15"/>
      <c r="L784" s="15"/>
      <c r="M784" s="15"/>
    </row>
    <row r="785" spans="2:13" ht="14">
      <c r="B785" s="15"/>
      <c r="C785" s="15"/>
      <c r="D785" s="15"/>
      <c r="E785" s="15"/>
      <c r="F785" s="15"/>
      <c r="G785" s="15"/>
      <c r="H785" s="19"/>
      <c r="I785" s="19"/>
      <c r="J785" s="15"/>
      <c r="K785" s="15"/>
      <c r="L785" s="15"/>
      <c r="M785" s="15"/>
    </row>
    <row r="786" spans="2:13" ht="14">
      <c r="B786" s="15"/>
      <c r="C786" s="15"/>
      <c r="D786" s="15"/>
      <c r="E786" s="15"/>
      <c r="F786" s="15"/>
      <c r="G786" s="15"/>
      <c r="H786" s="19"/>
      <c r="I786" s="19"/>
      <c r="J786" s="15"/>
      <c r="K786" s="15"/>
      <c r="L786" s="15"/>
      <c r="M786" s="15"/>
    </row>
    <row r="787" spans="2:13" ht="14">
      <c r="B787" s="15"/>
      <c r="C787" s="15"/>
      <c r="D787" s="15"/>
      <c r="E787" s="15"/>
      <c r="F787" s="15"/>
      <c r="G787" s="15"/>
      <c r="H787" s="19"/>
      <c r="I787" s="19"/>
      <c r="J787" s="15"/>
      <c r="K787" s="15"/>
      <c r="L787" s="15"/>
      <c r="M787" s="15"/>
    </row>
    <row r="788" spans="2:13" ht="14">
      <c r="B788" s="15"/>
      <c r="C788" s="15"/>
      <c r="D788" s="15"/>
      <c r="E788" s="15"/>
      <c r="F788" s="15"/>
      <c r="G788" s="15"/>
      <c r="H788" s="19"/>
      <c r="I788" s="19"/>
      <c r="J788" s="15"/>
      <c r="K788" s="15"/>
      <c r="L788" s="15"/>
      <c r="M788" s="15"/>
    </row>
    <row r="789" spans="2:13" ht="14">
      <c r="B789" s="15"/>
      <c r="C789" s="15"/>
      <c r="D789" s="15"/>
      <c r="E789" s="15"/>
      <c r="F789" s="15"/>
      <c r="G789" s="15"/>
      <c r="H789" s="19"/>
      <c r="I789" s="19"/>
      <c r="J789" s="15"/>
      <c r="K789" s="15"/>
      <c r="L789" s="15"/>
      <c r="M789" s="15"/>
    </row>
    <row r="790" spans="2:13" ht="14">
      <c r="B790" s="15"/>
      <c r="C790" s="15"/>
      <c r="D790" s="15"/>
      <c r="E790" s="15"/>
      <c r="F790" s="15"/>
      <c r="G790" s="15"/>
      <c r="H790" s="19"/>
      <c r="I790" s="19"/>
      <c r="J790" s="15"/>
      <c r="K790" s="15"/>
      <c r="L790" s="15"/>
      <c r="M790" s="15"/>
    </row>
    <row r="791" spans="2:13" ht="14">
      <c r="B791" s="15"/>
      <c r="C791" s="15"/>
      <c r="D791" s="15"/>
      <c r="E791" s="15"/>
      <c r="F791" s="15"/>
      <c r="G791" s="15"/>
      <c r="H791" s="19"/>
      <c r="I791" s="19"/>
      <c r="J791" s="15"/>
      <c r="K791" s="15"/>
      <c r="L791" s="15"/>
      <c r="M791" s="15"/>
    </row>
    <row r="792" spans="2:13" ht="14">
      <c r="B792" s="15"/>
      <c r="C792" s="15"/>
      <c r="D792" s="15"/>
      <c r="E792" s="15"/>
      <c r="F792" s="15"/>
      <c r="G792" s="15"/>
      <c r="H792" s="19"/>
      <c r="I792" s="19"/>
      <c r="J792" s="15"/>
      <c r="K792" s="15"/>
      <c r="L792" s="15"/>
      <c r="M792" s="15"/>
    </row>
    <row r="793" spans="2:13" ht="14">
      <c r="B793" s="15"/>
      <c r="C793" s="15"/>
      <c r="D793" s="15"/>
      <c r="E793" s="15"/>
      <c r="F793" s="15"/>
      <c r="G793" s="15"/>
      <c r="H793" s="19"/>
      <c r="I793" s="19"/>
      <c r="J793" s="15"/>
      <c r="K793" s="15"/>
      <c r="L793" s="15"/>
      <c r="M793" s="15"/>
    </row>
    <row r="794" spans="2:13" ht="14">
      <c r="B794" s="15"/>
      <c r="C794" s="15"/>
      <c r="D794" s="15"/>
      <c r="E794" s="15"/>
      <c r="F794" s="15"/>
      <c r="G794" s="15"/>
      <c r="H794" s="19"/>
      <c r="I794" s="19"/>
      <c r="J794" s="15"/>
      <c r="K794" s="15"/>
      <c r="L794" s="15"/>
      <c r="M794" s="15"/>
    </row>
    <row r="795" spans="2:13" ht="14">
      <c r="B795" s="15"/>
      <c r="C795" s="15"/>
      <c r="D795" s="15"/>
      <c r="E795" s="15"/>
      <c r="F795" s="15"/>
      <c r="G795" s="15"/>
      <c r="H795" s="19"/>
      <c r="I795" s="19"/>
      <c r="J795" s="15"/>
      <c r="K795" s="15"/>
      <c r="L795" s="15"/>
      <c r="M795" s="15"/>
    </row>
    <row r="796" spans="2:13" ht="14">
      <c r="B796" s="15"/>
      <c r="C796" s="15"/>
      <c r="D796" s="15"/>
      <c r="E796" s="15"/>
      <c r="F796" s="15"/>
      <c r="G796" s="15"/>
      <c r="H796" s="19"/>
      <c r="I796" s="19"/>
      <c r="J796" s="15"/>
      <c r="K796" s="15"/>
      <c r="L796" s="15"/>
      <c r="M796" s="15"/>
    </row>
    <row r="797" spans="2:13" ht="14">
      <c r="B797" s="15"/>
      <c r="C797" s="15"/>
      <c r="D797" s="15"/>
      <c r="E797" s="15"/>
      <c r="F797" s="15"/>
      <c r="G797" s="15"/>
      <c r="H797" s="19"/>
      <c r="I797" s="19"/>
      <c r="J797" s="15"/>
      <c r="K797" s="15"/>
      <c r="L797" s="15"/>
      <c r="M797" s="15"/>
    </row>
    <row r="798" spans="2:13" ht="14">
      <c r="B798" s="15"/>
      <c r="C798" s="15"/>
      <c r="D798" s="15"/>
      <c r="E798" s="15"/>
      <c r="F798" s="15"/>
      <c r="G798" s="15"/>
      <c r="H798" s="19"/>
      <c r="I798" s="19"/>
      <c r="J798" s="15"/>
      <c r="K798" s="15"/>
      <c r="L798" s="15"/>
      <c r="M798" s="15"/>
    </row>
    <row r="799" spans="2:13" ht="14">
      <c r="B799" s="15"/>
      <c r="C799" s="15"/>
      <c r="D799" s="15"/>
      <c r="E799" s="15"/>
      <c r="F799" s="15"/>
      <c r="G799" s="15"/>
      <c r="H799" s="19"/>
      <c r="I799" s="19"/>
      <c r="J799" s="15"/>
      <c r="K799" s="15"/>
      <c r="L799" s="15"/>
      <c r="M799" s="15"/>
    </row>
    <row r="800" spans="2:13" ht="14">
      <c r="B800" s="15"/>
      <c r="C800" s="15"/>
      <c r="D800" s="15"/>
      <c r="E800" s="15"/>
      <c r="F800" s="15"/>
      <c r="G800" s="15"/>
      <c r="H800" s="19"/>
      <c r="I800" s="19"/>
      <c r="J800" s="15"/>
      <c r="K800" s="15"/>
      <c r="L800" s="15"/>
      <c r="M800" s="15"/>
    </row>
    <row r="801" spans="2:13" ht="14">
      <c r="B801" s="15"/>
      <c r="C801" s="15"/>
      <c r="D801" s="15"/>
      <c r="E801" s="15"/>
      <c r="F801" s="15"/>
      <c r="G801" s="15"/>
      <c r="H801" s="19"/>
      <c r="I801" s="19"/>
      <c r="J801" s="15"/>
      <c r="K801" s="15"/>
      <c r="L801" s="15"/>
      <c r="M801" s="15"/>
    </row>
    <row r="802" spans="2:13" ht="14">
      <c r="B802" s="15"/>
      <c r="C802" s="15"/>
      <c r="D802" s="15"/>
      <c r="E802" s="15"/>
      <c r="F802" s="15"/>
      <c r="G802" s="15"/>
      <c r="H802" s="19"/>
      <c r="I802" s="19"/>
      <c r="J802" s="15"/>
      <c r="K802" s="15"/>
      <c r="L802" s="15"/>
      <c r="M802" s="15"/>
    </row>
    <row r="803" spans="2:13" ht="14">
      <c r="B803" s="15"/>
      <c r="C803" s="15"/>
      <c r="D803" s="15"/>
      <c r="E803" s="15"/>
      <c r="F803" s="15"/>
      <c r="G803" s="15"/>
      <c r="H803" s="19"/>
      <c r="I803" s="19"/>
      <c r="J803" s="15"/>
      <c r="K803" s="15"/>
      <c r="L803" s="15"/>
      <c r="M803" s="15"/>
    </row>
    <row r="804" spans="2:13" ht="14">
      <c r="B804" s="15"/>
      <c r="C804" s="15"/>
      <c r="D804" s="15"/>
      <c r="E804" s="15"/>
      <c r="F804" s="15"/>
      <c r="G804" s="15"/>
      <c r="H804" s="19"/>
      <c r="I804" s="19"/>
      <c r="J804" s="15"/>
      <c r="K804" s="15"/>
      <c r="L804" s="15"/>
      <c r="M804" s="15"/>
    </row>
    <row r="805" spans="2:13" ht="14">
      <c r="B805" s="15"/>
      <c r="C805" s="15"/>
      <c r="D805" s="15"/>
      <c r="E805" s="15"/>
      <c r="F805" s="15"/>
      <c r="G805" s="15"/>
      <c r="H805" s="19"/>
      <c r="I805" s="19"/>
      <c r="J805" s="15"/>
      <c r="K805" s="15"/>
      <c r="L805" s="15"/>
      <c r="M805" s="15"/>
    </row>
    <row r="806" spans="2:13" ht="14">
      <c r="B806" s="15"/>
      <c r="C806" s="15"/>
      <c r="D806" s="15"/>
      <c r="E806" s="15"/>
      <c r="F806" s="15"/>
      <c r="G806" s="15"/>
      <c r="H806" s="19"/>
      <c r="I806" s="19"/>
      <c r="J806" s="15"/>
      <c r="K806" s="15"/>
      <c r="L806" s="15"/>
      <c r="M806" s="15"/>
    </row>
    <row r="807" spans="2:13" ht="14">
      <c r="B807" s="15"/>
      <c r="C807" s="15"/>
      <c r="D807" s="15"/>
      <c r="E807" s="15"/>
      <c r="F807" s="15"/>
      <c r="G807" s="15"/>
      <c r="H807" s="19"/>
      <c r="I807" s="19"/>
      <c r="J807" s="15"/>
      <c r="K807" s="15"/>
      <c r="L807" s="15"/>
      <c r="M807" s="15"/>
    </row>
    <row r="808" spans="2:13" ht="14">
      <c r="B808" s="15"/>
      <c r="C808" s="15"/>
      <c r="D808" s="15"/>
      <c r="E808" s="15"/>
      <c r="F808" s="15"/>
      <c r="G808" s="15"/>
      <c r="H808" s="19"/>
      <c r="I808" s="19"/>
      <c r="J808" s="15"/>
      <c r="K808" s="15"/>
      <c r="L808" s="15"/>
      <c r="M808" s="15"/>
    </row>
    <row r="809" spans="2:13" ht="14">
      <c r="B809" s="15"/>
      <c r="C809" s="15"/>
      <c r="D809" s="15"/>
      <c r="E809" s="15"/>
      <c r="F809" s="15"/>
      <c r="G809" s="15"/>
      <c r="H809" s="19"/>
      <c r="I809" s="19"/>
      <c r="J809" s="15"/>
      <c r="K809" s="15"/>
      <c r="L809" s="15"/>
      <c r="M809" s="15"/>
    </row>
    <row r="810" spans="2:13" ht="14">
      <c r="B810" s="15"/>
      <c r="C810" s="15"/>
      <c r="D810" s="15"/>
      <c r="E810" s="15"/>
      <c r="F810" s="15"/>
      <c r="G810" s="15"/>
      <c r="H810" s="19"/>
      <c r="I810" s="19"/>
      <c r="J810" s="15"/>
      <c r="K810" s="15"/>
      <c r="L810" s="15"/>
      <c r="M810" s="15"/>
    </row>
    <row r="811" spans="2:13" ht="14">
      <c r="B811" s="15"/>
      <c r="C811" s="15"/>
      <c r="D811" s="15"/>
      <c r="E811" s="15"/>
      <c r="F811" s="15"/>
      <c r="G811" s="15"/>
      <c r="H811" s="19"/>
      <c r="I811" s="19"/>
      <c r="J811" s="15"/>
      <c r="K811" s="15"/>
      <c r="L811" s="15"/>
      <c r="M811" s="15"/>
    </row>
    <row r="812" spans="2:13" ht="14">
      <c r="B812" s="15"/>
      <c r="C812" s="15"/>
      <c r="D812" s="15"/>
      <c r="E812" s="15"/>
      <c r="F812" s="15"/>
      <c r="G812" s="15"/>
      <c r="H812" s="19"/>
      <c r="I812" s="19"/>
      <c r="J812" s="15"/>
      <c r="K812" s="15"/>
      <c r="L812" s="15"/>
      <c r="M812" s="15"/>
    </row>
    <row r="813" spans="2:13" ht="14">
      <c r="B813" s="15"/>
      <c r="C813" s="15"/>
      <c r="D813" s="15"/>
      <c r="E813" s="15"/>
      <c r="F813" s="15"/>
      <c r="G813" s="15"/>
      <c r="H813" s="19"/>
      <c r="I813" s="19"/>
      <c r="J813" s="15"/>
      <c r="K813" s="15"/>
      <c r="L813" s="15"/>
      <c r="M813" s="15"/>
    </row>
    <row r="814" spans="2:13" ht="14">
      <c r="B814" s="15"/>
      <c r="C814" s="15"/>
      <c r="D814" s="15"/>
      <c r="E814" s="15"/>
      <c r="F814" s="15"/>
      <c r="G814" s="15"/>
      <c r="H814" s="19"/>
      <c r="I814" s="19"/>
      <c r="J814" s="15"/>
      <c r="K814" s="15"/>
      <c r="L814" s="15"/>
      <c r="M814" s="15"/>
    </row>
    <row r="815" spans="2:13" ht="14">
      <c r="B815" s="15"/>
      <c r="C815" s="15"/>
      <c r="D815" s="15"/>
      <c r="E815" s="15"/>
      <c r="F815" s="15"/>
      <c r="G815" s="15"/>
      <c r="H815" s="19"/>
      <c r="I815" s="19"/>
      <c r="J815" s="15"/>
      <c r="K815" s="15"/>
      <c r="L815" s="15"/>
      <c r="M815" s="15"/>
    </row>
    <row r="816" spans="2:13" ht="14">
      <c r="B816" s="15"/>
      <c r="C816" s="15"/>
      <c r="D816" s="15"/>
      <c r="E816" s="15"/>
      <c r="F816" s="15"/>
      <c r="G816" s="15"/>
      <c r="H816" s="19"/>
      <c r="I816" s="19"/>
      <c r="J816" s="15"/>
      <c r="K816" s="15"/>
      <c r="L816" s="15"/>
      <c r="M816" s="15"/>
    </row>
    <row r="817" spans="2:13" ht="14">
      <c r="B817" s="15"/>
      <c r="C817" s="15"/>
      <c r="D817" s="15"/>
      <c r="E817" s="15"/>
      <c r="F817" s="15"/>
      <c r="G817" s="15"/>
      <c r="H817" s="19"/>
      <c r="I817" s="19"/>
      <c r="J817" s="15"/>
      <c r="K817" s="15"/>
      <c r="L817" s="15"/>
      <c r="M817" s="15"/>
    </row>
    <row r="818" spans="2:13" ht="14">
      <c r="B818" s="15"/>
      <c r="C818" s="15"/>
      <c r="D818" s="15"/>
      <c r="E818" s="15"/>
      <c r="F818" s="15"/>
      <c r="G818" s="15"/>
      <c r="H818" s="19"/>
      <c r="I818" s="19"/>
      <c r="J818" s="15"/>
      <c r="K818" s="15"/>
      <c r="L818" s="15"/>
      <c r="M818" s="15"/>
    </row>
    <row r="819" spans="2:13" ht="14">
      <c r="B819" s="15"/>
      <c r="C819" s="15"/>
      <c r="D819" s="15"/>
      <c r="E819" s="15"/>
      <c r="F819" s="15"/>
      <c r="G819" s="15"/>
      <c r="H819" s="19"/>
      <c r="I819" s="19"/>
      <c r="J819" s="15"/>
      <c r="K819" s="15"/>
      <c r="L819" s="15"/>
      <c r="M819" s="15"/>
    </row>
    <row r="820" spans="2:13" ht="14">
      <c r="B820" s="15"/>
      <c r="C820" s="15"/>
      <c r="D820" s="15"/>
      <c r="E820" s="15"/>
      <c r="F820" s="15"/>
      <c r="G820" s="15"/>
      <c r="H820" s="19"/>
      <c r="I820" s="19"/>
      <c r="J820" s="15"/>
      <c r="K820" s="15"/>
      <c r="L820" s="15"/>
      <c r="M820" s="15"/>
    </row>
    <row r="821" spans="2:13" ht="14">
      <c r="B821" s="15"/>
      <c r="C821" s="15"/>
      <c r="D821" s="15"/>
      <c r="E821" s="15"/>
      <c r="F821" s="15"/>
      <c r="G821" s="15"/>
      <c r="H821" s="19"/>
      <c r="I821" s="19"/>
      <c r="J821" s="15"/>
      <c r="K821" s="15"/>
      <c r="L821" s="15"/>
      <c r="M821" s="15"/>
    </row>
    <row r="822" spans="2:13" ht="14">
      <c r="B822" s="15"/>
      <c r="C822" s="15"/>
      <c r="D822" s="15"/>
      <c r="E822" s="15"/>
      <c r="F822" s="15"/>
      <c r="G822" s="15"/>
      <c r="H822" s="19"/>
      <c r="I822" s="19"/>
      <c r="J822" s="15"/>
      <c r="K822" s="15"/>
      <c r="L822" s="15"/>
      <c r="M822" s="15"/>
    </row>
    <row r="823" spans="2:13" ht="14">
      <c r="B823" s="15"/>
      <c r="C823" s="15"/>
      <c r="D823" s="15"/>
      <c r="E823" s="15"/>
      <c r="F823" s="15"/>
      <c r="G823" s="15"/>
      <c r="H823" s="19"/>
      <c r="I823" s="19"/>
      <c r="J823" s="15"/>
      <c r="K823" s="15"/>
      <c r="L823" s="15"/>
      <c r="M823" s="15"/>
    </row>
    <row r="824" spans="2:13" ht="14">
      <c r="B824" s="15"/>
      <c r="C824" s="15"/>
      <c r="D824" s="15"/>
      <c r="E824" s="15"/>
      <c r="F824" s="15"/>
      <c r="G824" s="15"/>
      <c r="H824" s="19"/>
      <c r="I824" s="19"/>
      <c r="J824" s="15"/>
      <c r="K824" s="15"/>
      <c r="L824" s="15"/>
      <c r="M824" s="15"/>
    </row>
    <row r="825" spans="2:13" ht="14">
      <c r="B825" s="15"/>
      <c r="C825" s="15"/>
      <c r="D825" s="15"/>
      <c r="E825" s="15"/>
      <c r="F825" s="15"/>
      <c r="G825" s="15"/>
      <c r="H825" s="19"/>
      <c r="I825" s="19"/>
      <c r="J825" s="15"/>
      <c r="K825" s="15"/>
      <c r="L825" s="15"/>
      <c r="M825" s="15"/>
    </row>
    <row r="826" spans="2:13" ht="14">
      <c r="B826" s="15"/>
      <c r="C826" s="15"/>
      <c r="D826" s="15"/>
      <c r="E826" s="15"/>
      <c r="F826" s="15"/>
      <c r="G826" s="15"/>
      <c r="H826" s="19"/>
      <c r="I826" s="19"/>
      <c r="J826" s="15"/>
      <c r="K826" s="15"/>
      <c r="L826" s="15"/>
      <c r="M826" s="15"/>
    </row>
    <row r="827" spans="2:13" ht="14">
      <c r="B827" s="15"/>
      <c r="C827" s="15"/>
      <c r="D827" s="15"/>
      <c r="E827" s="15"/>
      <c r="F827" s="15"/>
      <c r="G827" s="15"/>
      <c r="H827" s="19"/>
      <c r="I827" s="19"/>
      <c r="J827" s="15"/>
      <c r="K827" s="15"/>
      <c r="L827" s="15"/>
      <c r="M827" s="15"/>
    </row>
    <row r="828" spans="2:13" ht="14">
      <c r="B828" s="15"/>
      <c r="C828" s="15"/>
      <c r="D828" s="15"/>
      <c r="E828" s="15"/>
      <c r="F828" s="15"/>
      <c r="G828" s="15"/>
      <c r="H828" s="19"/>
      <c r="I828" s="19"/>
      <c r="J828" s="15"/>
      <c r="K828" s="15"/>
      <c r="L828" s="15"/>
      <c r="M828" s="15"/>
    </row>
    <row r="829" spans="2:13" ht="14">
      <c r="B829" s="15"/>
      <c r="C829" s="15"/>
      <c r="D829" s="15"/>
      <c r="E829" s="15"/>
      <c r="F829" s="15"/>
      <c r="G829" s="15"/>
      <c r="H829" s="19"/>
      <c r="I829" s="19"/>
      <c r="J829" s="15"/>
      <c r="K829" s="15"/>
      <c r="L829" s="15"/>
      <c r="M829" s="15"/>
    </row>
    <row r="830" spans="2:13" ht="14">
      <c r="B830" s="15"/>
      <c r="C830" s="15"/>
      <c r="D830" s="15"/>
      <c r="E830" s="15"/>
      <c r="F830" s="15"/>
      <c r="G830" s="15"/>
      <c r="H830" s="19"/>
      <c r="I830" s="19"/>
      <c r="J830" s="15"/>
      <c r="K830" s="15"/>
      <c r="L830" s="15"/>
      <c r="M830" s="15"/>
    </row>
    <row r="831" spans="2:13" ht="14">
      <c r="B831" s="15"/>
      <c r="C831" s="15"/>
      <c r="D831" s="15"/>
      <c r="E831" s="15"/>
      <c r="F831" s="15"/>
      <c r="G831" s="15"/>
      <c r="H831" s="19"/>
      <c r="I831" s="19"/>
      <c r="J831" s="15"/>
      <c r="K831" s="15"/>
      <c r="L831" s="15"/>
      <c r="M831" s="15"/>
    </row>
    <row r="832" spans="2:13" ht="14">
      <c r="B832" s="15"/>
      <c r="C832" s="15"/>
      <c r="D832" s="15"/>
      <c r="E832" s="15"/>
      <c r="F832" s="15"/>
      <c r="G832" s="15"/>
      <c r="H832" s="19"/>
      <c r="I832" s="19"/>
      <c r="J832" s="15"/>
      <c r="K832" s="15"/>
      <c r="L832" s="15"/>
      <c r="M832" s="15"/>
    </row>
    <row r="833" spans="2:13" ht="14">
      <c r="B833" s="15"/>
      <c r="C833" s="15"/>
      <c r="D833" s="15"/>
      <c r="E833" s="15"/>
      <c r="F833" s="15"/>
      <c r="G833" s="15"/>
      <c r="H833" s="19"/>
      <c r="I833" s="19"/>
      <c r="J833" s="15"/>
      <c r="K833" s="15"/>
      <c r="L833" s="15"/>
      <c r="M833" s="15"/>
    </row>
    <row r="834" spans="2:13" ht="14">
      <c r="B834" s="15"/>
      <c r="C834" s="15"/>
      <c r="D834" s="15"/>
      <c r="E834" s="15"/>
      <c r="F834" s="15"/>
      <c r="G834" s="15"/>
      <c r="H834" s="19"/>
      <c r="I834" s="19"/>
      <c r="J834" s="15"/>
      <c r="K834" s="15"/>
      <c r="L834" s="15"/>
      <c r="M834" s="15"/>
    </row>
    <row r="835" spans="2:13" ht="14">
      <c r="B835" s="15"/>
      <c r="C835" s="15"/>
      <c r="D835" s="15"/>
      <c r="E835" s="15"/>
      <c r="F835" s="15"/>
      <c r="G835" s="15"/>
      <c r="H835" s="19"/>
      <c r="I835" s="19"/>
      <c r="J835" s="15"/>
      <c r="K835" s="15"/>
      <c r="L835" s="15"/>
      <c r="M835" s="15"/>
    </row>
    <row r="836" spans="2:13" ht="14">
      <c r="B836" s="15"/>
      <c r="C836" s="15"/>
      <c r="D836" s="15"/>
      <c r="E836" s="15"/>
      <c r="F836" s="15"/>
      <c r="G836" s="15"/>
      <c r="H836" s="19"/>
      <c r="I836" s="19"/>
      <c r="J836" s="15"/>
      <c r="K836" s="15"/>
      <c r="L836" s="15"/>
      <c r="M836" s="15"/>
    </row>
    <row r="837" spans="2:13" ht="14">
      <c r="B837" s="15"/>
      <c r="C837" s="15"/>
      <c r="D837" s="15"/>
      <c r="E837" s="15"/>
      <c r="F837" s="15"/>
      <c r="G837" s="15"/>
      <c r="H837" s="19"/>
      <c r="I837" s="19"/>
      <c r="J837" s="15"/>
      <c r="K837" s="15"/>
      <c r="L837" s="15"/>
      <c r="M837" s="15"/>
    </row>
    <row r="838" spans="2:13" ht="14">
      <c r="B838" s="15"/>
      <c r="C838" s="15"/>
      <c r="D838" s="15"/>
      <c r="E838" s="15"/>
      <c r="F838" s="15"/>
      <c r="G838" s="15"/>
      <c r="H838" s="19"/>
      <c r="I838" s="19"/>
      <c r="J838" s="15"/>
      <c r="K838" s="15"/>
      <c r="L838" s="15"/>
      <c r="M838" s="15"/>
    </row>
    <row r="839" spans="2:13" ht="14">
      <c r="B839" s="15"/>
      <c r="C839" s="15"/>
      <c r="D839" s="15"/>
      <c r="E839" s="15"/>
      <c r="F839" s="15"/>
      <c r="G839" s="15"/>
      <c r="H839" s="19"/>
      <c r="I839" s="19"/>
      <c r="J839" s="15"/>
      <c r="K839" s="15"/>
      <c r="L839" s="15"/>
      <c r="M839" s="15"/>
    </row>
    <row r="840" spans="2:13" ht="14">
      <c r="B840" s="15"/>
      <c r="C840" s="15"/>
      <c r="D840" s="15"/>
      <c r="E840" s="15"/>
      <c r="F840" s="15"/>
      <c r="G840" s="15"/>
      <c r="H840" s="19"/>
      <c r="I840" s="19"/>
      <c r="J840" s="15"/>
      <c r="K840" s="15"/>
      <c r="L840" s="15"/>
      <c r="M840" s="15"/>
    </row>
    <row r="841" spans="2:13" ht="14">
      <c r="B841" s="15"/>
      <c r="C841" s="15"/>
      <c r="D841" s="15"/>
      <c r="E841" s="15"/>
      <c r="F841" s="15"/>
      <c r="G841" s="15"/>
      <c r="H841" s="19"/>
      <c r="I841" s="19"/>
      <c r="J841" s="15"/>
      <c r="K841" s="15"/>
      <c r="L841" s="15"/>
      <c r="M841" s="15"/>
    </row>
    <row r="842" spans="2:13" ht="14">
      <c r="B842" s="15"/>
      <c r="C842" s="15"/>
      <c r="D842" s="15"/>
      <c r="E842" s="15"/>
      <c r="F842" s="15"/>
      <c r="G842" s="15"/>
      <c r="H842" s="19"/>
      <c r="I842" s="19"/>
      <c r="J842" s="15"/>
      <c r="K842" s="15"/>
      <c r="L842" s="15"/>
      <c r="M842" s="15"/>
    </row>
    <row r="843" spans="2:13" ht="14">
      <c r="B843" s="15"/>
      <c r="C843" s="15"/>
      <c r="D843" s="15"/>
      <c r="E843" s="15"/>
      <c r="F843" s="15"/>
      <c r="G843" s="15"/>
      <c r="H843" s="19"/>
      <c r="I843" s="19"/>
      <c r="J843" s="15"/>
      <c r="K843" s="15"/>
      <c r="L843" s="15"/>
      <c r="M843" s="15"/>
    </row>
    <row r="844" spans="2:13" ht="14">
      <c r="B844" s="15"/>
      <c r="C844" s="15"/>
      <c r="D844" s="15"/>
      <c r="E844" s="15"/>
      <c r="F844" s="15"/>
      <c r="G844" s="15"/>
      <c r="H844" s="19"/>
      <c r="I844" s="19"/>
      <c r="J844" s="15"/>
      <c r="K844" s="15"/>
      <c r="L844" s="15"/>
      <c r="M844" s="15"/>
    </row>
    <row r="845" spans="2:13" ht="14">
      <c r="B845" s="15"/>
      <c r="C845" s="15"/>
      <c r="D845" s="15"/>
      <c r="E845" s="15"/>
      <c r="F845" s="15"/>
      <c r="G845" s="15"/>
      <c r="H845" s="19"/>
      <c r="I845" s="19"/>
      <c r="J845" s="15"/>
      <c r="K845" s="15"/>
      <c r="L845" s="15"/>
      <c r="M845" s="15"/>
    </row>
    <row r="846" spans="2:13" ht="14">
      <c r="B846" s="15"/>
      <c r="C846" s="15"/>
      <c r="D846" s="15"/>
      <c r="E846" s="15"/>
      <c r="F846" s="15"/>
      <c r="G846" s="15"/>
      <c r="H846" s="19"/>
      <c r="I846" s="19"/>
      <c r="J846" s="15"/>
      <c r="K846" s="15"/>
      <c r="L846" s="15"/>
      <c r="M846" s="15"/>
    </row>
    <row r="847" spans="2:13" ht="14">
      <c r="B847" s="15"/>
      <c r="C847" s="15"/>
      <c r="D847" s="15"/>
      <c r="E847" s="15"/>
      <c r="F847" s="15"/>
      <c r="G847" s="15"/>
      <c r="H847" s="19"/>
      <c r="I847" s="19"/>
      <c r="J847" s="15"/>
      <c r="K847" s="15"/>
      <c r="L847" s="15"/>
      <c r="M847" s="15"/>
    </row>
    <row r="848" spans="2:13" ht="14">
      <c r="B848" s="15"/>
      <c r="C848" s="15"/>
      <c r="D848" s="15"/>
      <c r="E848" s="15"/>
      <c r="F848" s="15"/>
      <c r="G848" s="15"/>
      <c r="H848" s="19"/>
      <c r="I848" s="19"/>
      <c r="J848" s="15"/>
      <c r="K848" s="15"/>
      <c r="L848" s="15"/>
      <c r="M848" s="15"/>
    </row>
    <row r="849" spans="2:13" ht="14">
      <c r="B849" s="15"/>
      <c r="C849" s="15"/>
      <c r="D849" s="15"/>
      <c r="E849" s="15"/>
      <c r="F849" s="15"/>
      <c r="G849" s="15"/>
      <c r="H849" s="19"/>
      <c r="I849" s="19"/>
      <c r="J849" s="15"/>
      <c r="K849" s="15"/>
      <c r="L849" s="15"/>
      <c r="M849" s="15"/>
    </row>
    <row r="850" spans="2:13" ht="14">
      <c r="B850" s="15"/>
      <c r="C850" s="15"/>
      <c r="D850" s="15"/>
      <c r="E850" s="15"/>
      <c r="F850" s="15"/>
      <c r="G850" s="15"/>
      <c r="H850" s="19"/>
      <c r="I850" s="19"/>
      <c r="J850" s="15"/>
      <c r="K850" s="15"/>
      <c r="L850" s="15"/>
      <c r="M850" s="15"/>
    </row>
    <row r="851" spans="2:13" ht="14">
      <c r="B851" s="15"/>
      <c r="C851" s="15"/>
      <c r="D851" s="15"/>
      <c r="E851" s="15"/>
      <c r="F851" s="15"/>
      <c r="G851" s="15"/>
      <c r="H851" s="19"/>
      <c r="I851" s="19"/>
      <c r="J851" s="15"/>
      <c r="K851" s="15"/>
      <c r="L851" s="15"/>
      <c r="M851" s="15"/>
    </row>
    <row r="852" spans="2:13" ht="14">
      <c r="B852" s="15"/>
      <c r="C852" s="15"/>
      <c r="D852" s="15"/>
      <c r="E852" s="15"/>
      <c r="F852" s="15"/>
      <c r="G852" s="15"/>
      <c r="H852" s="19"/>
      <c r="I852" s="19"/>
      <c r="J852" s="15"/>
      <c r="K852" s="15"/>
      <c r="L852" s="15"/>
      <c r="M852" s="15"/>
    </row>
    <row r="853" spans="2:13" ht="14">
      <c r="B853" s="15"/>
      <c r="C853" s="15"/>
      <c r="D853" s="15"/>
      <c r="E853" s="15"/>
      <c r="F853" s="15"/>
      <c r="G853" s="15"/>
      <c r="H853" s="19"/>
      <c r="I853" s="19"/>
      <c r="J853" s="15"/>
      <c r="K853" s="15"/>
      <c r="L853" s="15"/>
      <c r="M853" s="15"/>
    </row>
    <row r="854" spans="2:13" ht="14">
      <c r="B854" s="15"/>
      <c r="C854" s="15"/>
      <c r="D854" s="15"/>
      <c r="E854" s="15"/>
      <c r="F854" s="15"/>
      <c r="G854" s="15"/>
      <c r="H854" s="19"/>
      <c r="I854" s="19"/>
      <c r="J854" s="15"/>
      <c r="K854" s="15"/>
      <c r="L854" s="15"/>
      <c r="M854" s="15"/>
    </row>
    <row r="855" spans="2:13" ht="14">
      <c r="B855" s="15"/>
      <c r="C855" s="15"/>
      <c r="D855" s="15"/>
      <c r="E855" s="15"/>
      <c r="F855" s="15"/>
      <c r="G855" s="15"/>
      <c r="H855" s="19"/>
      <c r="I855" s="19"/>
      <c r="J855" s="15"/>
      <c r="K855" s="15"/>
      <c r="L855" s="15"/>
      <c r="M855" s="15"/>
    </row>
    <row r="856" spans="2:13" ht="14">
      <c r="B856" s="15"/>
      <c r="C856" s="15"/>
      <c r="D856" s="15"/>
      <c r="E856" s="15"/>
      <c r="F856" s="15"/>
      <c r="G856" s="15"/>
      <c r="H856" s="19"/>
      <c r="I856" s="19"/>
      <c r="J856" s="15"/>
      <c r="K856" s="15"/>
      <c r="L856" s="15"/>
      <c r="M856" s="15"/>
    </row>
    <row r="857" spans="2:13" ht="14">
      <c r="B857" s="15"/>
      <c r="C857" s="15"/>
      <c r="D857" s="15"/>
      <c r="E857" s="15"/>
      <c r="F857" s="15"/>
      <c r="G857" s="15"/>
      <c r="H857" s="19"/>
      <c r="I857" s="19"/>
      <c r="J857" s="15"/>
      <c r="K857" s="15"/>
      <c r="L857" s="15"/>
      <c r="M857" s="15"/>
    </row>
    <row r="858" spans="2:13" ht="14">
      <c r="B858" s="15"/>
      <c r="C858" s="15"/>
      <c r="D858" s="15"/>
      <c r="E858" s="15"/>
      <c r="F858" s="15"/>
      <c r="G858" s="15"/>
      <c r="H858" s="19"/>
      <c r="I858" s="19"/>
      <c r="J858" s="15"/>
      <c r="K858" s="15"/>
      <c r="L858" s="15"/>
      <c r="M858" s="15"/>
    </row>
    <row r="859" spans="2:13" ht="14">
      <c r="B859" s="15"/>
      <c r="C859" s="15"/>
      <c r="D859" s="15"/>
      <c r="E859" s="15"/>
      <c r="F859" s="15"/>
      <c r="G859" s="15"/>
      <c r="H859" s="19"/>
      <c r="I859" s="19"/>
      <c r="J859" s="15"/>
      <c r="K859" s="15"/>
      <c r="L859" s="15"/>
      <c r="M859" s="15"/>
    </row>
    <row r="860" spans="2:13" ht="14">
      <c r="B860" s="15"/>
      <c r="C860" s="15"/>
      <c r="D860" s="15"/>
      <c r="E860" s="15"/>
      <c r="F860" s="15"/>
      <c r="G860" s="15"/>
      <c r="H860" s="19"/>
      <c r="I860" s="19"/>
      <c r="J860" s="15"/>
      <c r="K860" s="15"/>
      <c r="L860" s="15"/>
      <c r="M860" s="15"/>
    </row>
    <row r="861" spans="2:13" ht="14">
      <c r="B861" s="15"/>
      <c r="C861" s="15"/>
      <c r="D861" s="15"/>
      <c r="E861" s="15"/>
      <c r="F861" s="15"/>
      <c r="G861" s="15"/>
      <c r="H861" s="19"/>
      <c r="I861" s="19"/>
      <c r="J861" s="15"/>
      <c r="K861" s="15"/>
      <c r="L861" s="15"/>
      <c r="M861" s="15"/>
    </row>
    <row r="862" spans="2:13" ht="14">
      <c r="B862" s="15"/>
      <c r="C862" s="15"/>
      <c r="D862" s="15"/>
      <c r="E862" s="15"/>
      <c r="F862" s="15"/>
      <c r="G862" s="15"/>
      <c r="H862" s="19"/>
      <c r="I862" s="19"/>
      <c r="J862" s="15"/>
      <c r="K862" s="15"/>
      <c r="L862" s="15"/>
      <c r="M862" s="15"/>
    </row>
    <row r="863" spans="2:13" ht="14">
      <c r="B863" s="15"/>
      <c r="C863" s="15"/>
      <c r="D863" s="15"/>
      <c r="E863" s="15"/>
      <c r="F863" s="15"/>
      <c r="G863" s="15"/>
      <c r="H863" s="19"/>
      <c r="I863" s="19"/>
      <c r="J863" s="15"/>
      <c r="K863" s="15"/>
      <c r="L863" s="15"/>
      <c r="M863" s="15"/>
    </row>
    <row r="864" spans="2:13" ht="14">
      <c r="B864" s="15"/>
      <c r="C864" s="15"/>
      <c r="D864" s="15"/>
      <c r="E864" s="15"/>
      <c r="F864" s="15"/>
      <c r="G864" s="15"/>
      <c r="H864" s="19"/>
      <c r="I864" s="19"/>
      <c r="J864" s="15"/>
      <c r="K864" s="15"/>
      <c r="L864" s="15"/>
      <c r="M864" s="15"/>
    </row>
    <row r="865" spans="2:13" ht="14">
      <c r="B865" s="15"/>
      <c r="C865" s="15"/>
      <c r="D865" s="15"/>
      <c r="E865" s="15"/>
      <c r="F865" s="15"/>
      <c r="G865" s="15"/>
      <c r="H865" s="19"/>
      <c r="I865" s="19"/>
      <c r="J865" s="15"/>
      <c r="K865" s="15"/>
      <c r="L865" s="15"/>
      <c r="M865" s="15"/>
    </row>
    <row r="866" spans="2:13" ht="14">
      <c r="B866" s="15"/>
      <c r="C866" s="15"/>
      <c r="D866" s="15"/>
      <c r="E866" s="15"/>
      <c r="F866" s="15"/>
      <c r="G866" s="15"/>
      <c r="H866" s="19"/>
      <c r="I866" s="19"/>
      <c r="J866" s="15"/>
      <c r="K866" s="15"/>
      <c r="L866" s="15"/>
      <c r="M866" s="15"/>
    </row>
    <row r="867" spans="2:13" ht="14">
      <c r="B867" s="15"/>
      <c r="C867" s="15"/>
      <c r="D867" s="15"/>
      <c r="E867" s="15"/>
      <c r="F867" s="15"/>
      <c r="G867" s="15"/>
      <c r="H867" s="19"/>
      <c r="I867" s="19"/>
      <c r="J867" s="15"/>
      <c r="K867" s="15"/>
      <c r="L867" s="15"/>
      <c r="M867" s="15"/>
    </row>
    <row r="868" spans="2:13" ht="14">
      <c r="B868" s="15"/>
      <c r="C868" s="15"/>
      <c r="D868" s="15"/>
      <c r="E868" s="15"/>
      <c r="F868" s="15"/>
      <c r="G868" s="15"/>
      <c r="H868" s="19"/>
      <c r="I868" s="19"/>
      <c r="J868" s="15"/>
      <c r="K868" s="15"/>
      <c r="L868" s="15"/>
      <c r="M868" s="15"/>
    </row>
    <row r="869" spans="2:13" ht="14">
      <c r="B869" s="15"/>
      <c r="C869" s="15"/>
      <c r="D869" s="15"/>
      <c r="E869" s="15"/>
      <c r="F869" s="15"/>
      <c r="G869" s="15"/>
      <c r="H869" s="19"/>
      <c r="I869" s="19"/>
      <c r="J869" s="15"/>
      <c r="K869" s="15"/>
      <c r="L869" s="15"/>
      <c r="M869" s="15"/>
    </row>
    <row r="870" spans="2:13" ht="14">
      <c r="B870" s="15"/>
      <c r="C870" s="15"/>
      <c r="D870" s="15"/>
      <c r="E870" s="15"/>
      <c r="F870" s="15"/>
      <c r="G870" s="15"/>
      <c r="H870" s="19"/>
      <c r="I870" s="19"/>
      <c r="J870" s="15"/>
      <c r="K870" s="15"/>
      <c r="L870" s="15"/>
      <c r="M870" s="15"/>
    </row>
    <row r="871" spans="2:13" ht="14">
      <c r="B871" s="15"/>
      <c r="C871" s="15"/>
      <c r="D871" s="15"/>
      <c r="E871" s="15"/>
      <c r="F871" s="15"/>
      <c r="G871" s="15"/>
      <c r="H871" s="19"/>
      <c r="I871" s="19"/>
      <c r="J871" s="15"/>
      <c r="K871" s="15"/>
      <c r="L871" s="15"/>
      <c r="M871" s="15"/>
    </row>
    <row r="872" spans="2:13" ht="14">
      <c r="B872" s="15"/>
      <c r="C872" s="15"/>
      <c r="D872" s="15"/>
      <c r="E872" s="15"/>
      <c r="F872" s="15"/>
      <c r="G872" s="15"/>
      <c r="H872" s="19"/>
      <c r="I872" s="19"/>
      <c r="J872" s="15"/>
      <c r="K872" s="15"/>
      <c r="L872" s="15"/>
      <c r="M872" s="15"/>
    </row>
    <row r="873" spans="2:13" ht="14">
      <c r="B873" s="15"/>
      <c r="C873" s="15"/>
      <c r="D873" s="15"/>
      <c r="E873" s="15"/>
      <c r="F873" s="15"/>
      <c r="G873" s="15"/>
      <c r="H873" s="19"/>
      <c r="I873" s="19"/>
      <c r="J873" s="15"/>
      <c r="K873" s="15"/>
      <c r="L873" s="15"/>
      <c r="M873" s="15"/>
    </row>
    <row r="874" spans="2:13" ht="14">
      <c r="B874" s="15"/>
      <c r="C874" s="15"/>
      <c r="D874" s="15"/>
      <c r="E874" s="15"/>
      <c r="F874" s="15"/>
      <c r="G874" s="15"/>
      <c r="H874" s="19"/>
      <c r="I874" s="19"/>
      <c r="J874" s="15"/>
      <c r="K874" s="15"/>
      <c r="L874" s="15"/>
      <c r="M874" s="15"/>
    </row>
    <row r="875" spans="2:13" ht="14">
      <c r="B875" s="15"/>
      <c r="C875" s="15"/>
      <c r="D875" s="15"/>
      <c r="E875" s="15"/>
      <c r="F875" s="15"/>
      <c r="G875" s="15"/>
      <c r="H875" s="19"/>
      <c r="I875" s="19"/>
      <c r="J875" s="15"/>
      <c r="K875" s="15"/>
      <c r="L875" s="15"/>
      <c r="M875" s="15"/>
    </row>
    <row r="876" spans="2:13" ht="14">
      <c r="B876" s="15"/>
      <c r="C876" s="15"/>
      <c r="D876" s="15"/>
      <c r="E876" s="15"/>
      <c r="F876" s="15"/>
      <c r="G876" s="15"/>
      <c r="H876" s="19"/>
      <c r="I876" s="19"/>
      <c r="J876" s="15"/>
      <c r="K876" s="15"/>
      <c r="L876" s="15"/>
      <c r="M876" s="15"/>
    </row>
    <row r="877" spans="2:13" ht="14">
      <c r="B877" s="15"/>
      <c r="C877" s="15"/>
      <c r="D877" s="15"/>
      <c r="E877" s="15"/>
      <c r="F877" s="15"/>
      <c r="G877" s="15"/>
      <c r="H877" s="19"/>
      <c r="I877" s="19"/>
      <c r="J877" s="15"/>
      <c r="K877" s="15"/>
      <c r="L877" s="15"/>
      <c r="M877" s="15"/>
    </row>
    <row r="878" spans="2:13" ht="14">
      <c r="B878" s="15"/>
      <c r="C878" s="15"/>
      <c r="D878" s="15"/>
      <c r="E878" s="15"/>
      <c r="F878" s="15"/>
      <c r="G878" s="15"/>
      <c r="H878" s="19"/>
      <c r="I878" s="19"/>
      <c r="J878" s="15"/>
      <c r="K878" s="15"/>
      <c r="L878" s="15"/>
      <c r="M878" s="15"/>
    </row>
    <row r="879" spans="2:13" ht="14">
      <c r="B879" s="15"/>
      <c r="C879" s="15"/>
      <c r="D879" s="15"/>
      <c r="E879" s="15"/>
      <c r="F879" s="15"/>
      <c r="G879" s="15"/>
      <c r="H879" s="19"/>
      <c r="I879" s="19"/>
      <c r="J879" s="15"/>
      <c r="K879" s="15"/>
      <c r="L879" s="15"/>
      <c r="M879" s="15"/>
    </row>
    <row r="880" spans="2:13" ht="14">
      <c r="B880" s="15"/>
      <c r="C880" s="15"/>
      <c r="D880" s="15"/>
      <c r="E880" s="15"/>
      <c r="F880" s="15"/>
      <c r="G880" s="15"/>
      <c r="H880" s="19"/>
      <c r="I880" s="19"/>
      <c r="J880" s="15"/>
      <c r="K880" s="15"/>
      <c r="L880" s="15"/>
      <c r="M880" s="15"/>
    </row>
    <row r="881" spans="2:13" ht="14">
      <c r="B881" s="15"/>
      <c r="C881" s="15"/>
      <c r="D881" s="15"/>
      <c r="E881" s="15"/>
      <c r="F881" s="15"/>
      <c r="G881" s="15"/>
      <c r="H881" s="19"/>
      <c r="I881" s="19"/>
      <c r="J881" s="15"/>
      <c r="K881" s="15"/>
      <c r="L881" s="15"/>
      <c r="M881" s="15"/>
    </row>
    <row r="882" spans="2:13" ht="14">
      <c r="B882" s="15"/>
      <c r="C882" s="15"/>
      <c r="D882" s="15"/>
      <c r="E882" s="15"/>
      <c r="F882" s="15"/>
      <c r="G882" s="15"/>
      <c r="H882" s="19"/>
      <c r="I882" s="19"/>
      <c r="J882" s="15"/>
      <c r="K882" s="15"/>
      <c r="L882" s="15"/>
      <c r="M882" s="15"/>
    </row>
    <row r="883" spans="2:13" ht="14">
      <c r="B883" s="15"/>
      <c r="C883" s="15"/>
      <c r="D883" s="15"/>
      <c r="E883" s="15"/>
      <c r="F883" s="15"/>
      <c r="G883" s="15"/>
      <c r="H883" s="19"/>
      <c r="I883" s="19"/>
      <c r="J883" s="15"/>
      <c r="K883" s="15"/>
      <c r="L883" s="15"/>
      <c r="M883" s="15"/>
    </row>
    <row r="884" spans="2:13" ht="14">
      <c r="B884" s="15"/>
      <c r="C884" s="15"/>
      <c r="D884" s="15"/>
      <c r="E884" s="15"/>
      <c r="F884" s="15"/>
      <c r="G884" s="15"/>
      <c r="H884" s="19"/>
      <c r="I884" s="19"/>
      <c r="J884" s="15"/>
      <c r="K884" s="15"/>
      <c r="L884" s="15"/>
      <c r="M884" s="15"/>
    </row>
    <row r="885" spans="2:13" ht="14">
      <c r="B885" s="15"/>
      <c r="C885" s="15"/>
      <c r="D885" s="15"/>
      <c r="E885" s="15"/>
      <c r="F885" s="15"/>
      <c r="G885" s="15"/>
      <c r="H885" s="19"/>
      <c r="I885" s="19"/>
      <c r="J885" s="15"/>
      <c r="K885" s="15"/>
      <c r="L885" s="15"/>
      <c r="M885" s="15"/>
    </row>
    <row r="886" spans="2:13" ht="14">
      <c r="B886" s="15"/>
      <c r="C886" s="15"/>
      <c r="D886" s="15"/>
      <c r="E886" s="15"/>
      <c r="F886" s="15"/>
      <c r="G886" s="15"/>
      <c r="H886" s="19"/>
      <c r="I886" s="19"/>
      <c r="J886" s="15"/>
      <c r="K886" s="15"/>
      <c r="L886" s="15"/>
      <c r="M886" s="15"/>
    </row>
    <row r="887" spans="2:13" ht="14">
      <c r="B887" s="15"/>
      <c r="C887" s="15"/>
      <c r="D887" s="15"/>
      <c r="E887" s="15"/>
      <c r="F887" s="15"/>
      <c r="G887" s="15"/>
      <c r="H887" s="19"/>
      <c r="I887" s="19"/>
      <c r="J887" s="15"/>
      <c r="K887" s="15"/>
      <c r="L887" s="15"/>
      <c r="M887" s="15"/>
    </row>
    <row r="888" spans="2:13" ht="14">
      <c r="B888" s="15"/>
      <c r="C888" s="15"/>
      <c r="D888" s="15"/>
      <c r="E888" s="15"/>
      <c r="F888" s="15"/>
      <c r="G888" s="15"/>
      <c r="H888" s="19"/>
      <c r="I888" s="19"/>
      <c r="J888" s="15"/>
      <c r="K888" s="15"/>
      <c r="L888" s="15"/>
      <c r="M888" s="15"/>
    </row>
    <row r="889" spans="2:13" ht="14">
      <c r="B889" s="15"/>
      <c r="C889" s="15"/>
      <c r="D889" s="15"/>
      <c r="E889" s="15"/>
      <c r="F889" s="15"/>
      <c r="G889" s="15"/>
      <c r="H889" s="19"/>
      <c r="I889" s="19"/>
      <c r="J889" s="15"/>
      <c r="K889" s="15"/>
      <c r="L889" s="15"/>
      <c r="M889" s="15"/>
    </row>
    <row r="890" spans="2:13" ht="14">
      <c r="B890" s="15"/>
      <c r="C890" s="15"/>
      <c r="D890" s="15"/>
      <c r="E890" s="15"/>
      <c r="F890" s="15"/>
      <c r="G890" s="15"/>
      <c r="H890" s="19"/>
      <c r="I890" s="19"/>
      <c r="J890" s="15"/>
      <c r="K890" s="15"/>
      <c r="L890" s="15"/>
      <c r="M890" s="15"/>
    </row>
    <row r="891" spans="2:13" ht="14">
      <c r="B891" s="15"/>
      <c r="C891" s="15"/>
      <c r="D891" s="15"/>
      <c r="E891" s="15"/>
      <c r="F891" s="15"/>
      <c r="G891" s="15"/>
      <c r="H891" s="19"/>
      <c r="I891" s="19"/>
      <c r="J891" s="15"/>
      <c r="K891" s="15"/>
      <c r="L891" s="15"/>
      <c r="M891" s="15"/>
    </row>
    <row r="892" spans="2:13" ht="14">
      <c r="B892" s="15"/>
      <c r="C892" s="15"/>
      <c r="D892" s="15"/>
      <c r="E892" s="15"/>
      <c r="F892" s="15"/>
      <c r="G892" s="15"/>
      <c r="H892" s="19"/>
      <c r="I892" s="19"/>
      <c r="J892" s="15"/>
      <c r="K892" s="15"/>
      <c r="L892" s="15"/>
      <c r="M892" s="15"/>
    </row>
    <row r="893" spans="2:13" ht="14">
      <c r="B893" s="15"/>
      <c r="C893" s="15"/>
      <c r="D893" s="15"/>
      <c r="E893" s="15"/>
      <c r="F893" s="15"/>
      <c r="G893" s="15"/>
      <c r="H893" s="19"/>
      <c r="I893" s="19"/>
      <c r="J893" s="15"/>
      <c r="K893" s="15"/>
      <c r="L893" s="15"/>
      <c r="M893" s="15"/>
    </row>
    <row r="894" spans="2:13" ht="14">
      <c r="B894" s="15"/>
      <c r="C894" s="15"/>
      <c r="D894" s="15"/>
      <c r="E894" s="15"/>
      <c r="F894" s="15"/>
      <c r="G894" s="15"/>
      <c r="H894" s="19"/>
      <c r="I894" s="19"/>
      <c r="J894" s="15"/>
      <c r="K894" s="15"/>
      <c r="L894" s="15"/>
      <c r="M894" s="15"/>
    </row>
    <row r="895" spans="2:13" ht="14">
      <c r="B895" s="15"/>
      <c r="C895" s="15"/>
      <c r="D895" s="15"/>
      <c r="E895" s="15"/>
      <c r="F895" s="15"/>
      <c r="G895" s="15"/>
      <c r="H895" s="19"/>
      <c r="I895" s="19"/>
      <c r="J895" s="15"/>
      <c r="K895" s="15"/>
      <c r="L895" s="15"/>
      <c r="M895" s="15"/>
    </row>
    <row r="896" spans="2:13" ht="14">
      <c r="B896" s="15"/>
      <c r="C896" s="15"/>
      <c r="D896" s="15"/>
      <c r="E896" s="15"/>
      <c r="F896" s="15"/>
      <c r="G896" s="15"/>
      <c r="H896" s="19"/>
      <c r="I896" s="19"/>
      <c r="J896" s="15"/>
      <c r="K896" s="15"/>
      <c r="L896" s="15"/>
      <c r="M896" s="15"/>
    </row>
    <row r="897" spans="2:13" ht="14">
      <c r="B897" s="15"/>
      <c r="C897" s="15"/>
      <c r="D897" s="15"/>
      <c r="E897" s="15"/>
      <c r="F897" s="15"/>
      <c r="G897" s="15"/>
      <c r="H897" s="19"/>
      <c r="I897" s="19"/>
      <c r="J897" s="15"/>
      <c r="K897" s="15"/>
      <c r="L897" s="15"/>
      <c r="M897" s="15"/>
    </row>
    <row r="898" spans="2:13" ht="14">
      <c r="B898" s="15"/>
      <c r="C898" s="15"/>
      <c r="D898" s="15"/>
      <c r="E898" s="15"/>
      <c r="F898" s="15"/>
      <c r="G898" s="15"/>
      <c r="H898" s="19"/>
      <c r="I898" s="19"/>
      <c r="J898" s="15"/>
      <c r="K898" s="15"/>
      <c r="L898" s="15"/>
      <c r="M898" s="15"/>
    </row>
    <row r="899" spans="2:13" ht="14">
      <c r="B899" s="15"/>
      <c r="C899" s="15"/>
      <c r="D899" s="15"/>
      <c r="E899" s="15"/>
      <c r="F899" s="15"/>
      <c r="G899" s="15"/>
      <c r="H899" s="19"/>
      <c r="I899" s="19"/>
      <c r="J899" s="15"/>
      <c r="K899" s="15"/>
      <c r="L899" s="15"/>
      <c r="M899" s="15"/>
    </row>
    <row r="900" spans="2:13" ht="14">
      <c r="B900" s="15"/>
      <c r="C900" s="15"/>
      <c r="D900" s="15"/>
      <c r="E900" s="15"/>
      <c r="F900" s="15"/>
      <c r="G900" s="15"/>
      <c r="H900" s="19"/>
      <c r="I900" s="19"/>
      <c r="J900" s="15"/>
      <c r="K900" s="15"/>
      <c r="L900" s="15"/>
      <c r="M900" s="15"/>
    </row>
    <row r="901" spans="2:13" ht="14">
      <c r="B901" s="15"/>
      <c r="C901" s="15"/>
      <c r="D901" s="15"/>
      <c r="E901" s="15"/>
      <c r="F901" s="15"/>
      <c r="G901" s="15"/>
      <c r="H901" s="19"/>
      <c r="I901" s="19"/>
      <c r="J901" s="15"/>
      <c r="K901" s="15"/>
      <c r="L901" s="15"/>
      <c r="M901" s="15"/>
    </row>
    <row r="902" spans="2:13" ht="14">
      <c r="B902" s="15"/>
      <c r="C902" s="15"/>
      <c r="D902" s="15"/>
      <c r="E902" s="15"/>
      <c r="F902" s="15"/>
      <c r="G902" s="15"/>
      <c r="H902" s="19"/>
      <c r="I902" s="19"/>
      <c r="J902" s="15"/>
      <c r="K902" s="15"/>
      <c r="L902" s="15"/>
      <c r="M902" s="15"/>
    </row>
    <row r="903" spans="2:13" ht="14">
      <c r="B903" s="15"/>
      <c r="C903" s="15"/>
      <c r="D903" s="15"/>
      <c r="E903" s="15"/>
      <c r="F903" s="15"/>
      <c r="G903" s="15"/>
      <c r="H903" s="19"/>
      <c r="I903" s="19"/>
      <c r="J903" s="15"/>
      <c r="K903" s="15"/>
      <c r="L903" s="15"/>
      <c r="M903" s="15"/>
    </row>
    <row r="904" spans="2:13" ht="14">
      <c r="B904" s="15"/>
      <c r="C904" s="15"/>
      <c r="D904" s="15"/>
      <c r="E904" s="15"/>
      <c r="F904" s="15"/>
      <c r="G904" s="15"/>
      <c r="H904" s="19"/>
      <c r="I904" s="19"/>
      <c r="J904" s="15"/>
      <c r="K904" s="15"/>
      <c r="L904" s="15"/>
      <c r="M904" s="15"/>
    </row>
    <row r="905" spans="2:13" ht="14">
      <c r="B905" s="15"/>
      <c r="C905" s="15"/>
      <c r="D905" s="15"/>
      <c r="E905" s="15"/>
      <c r="F905" s="15"/>
      <c r="G905" s="15"/>
      <c r="H905" s="19"/>
      <c r="I905" s="19"/>
      <c r="J905" s="15"/>
      <c r="K905" s="15"/>
      <c r="L905" s="15"/>
      <c r="M905" s="15"/>
    </row>
    <row r="906" spans="2:13" ht="14">
      <c r="B906" s="15"/>
      <c r="C906" s="15"/>
      <c r="D906" s="15"/>
      <c r="E906" s="15"/>
      <c r="F906" s="15"/>
      <c r="G906" s="15"/>
      <c r="H906" s="19"/>
      <c r="I906" s="19"/>
      <c r="J906" s="15"/>
      <c r="K906" s="15"/>
      <c r="L906" s="15"/>
      <c r="M906" s="15"/>
    </row>
    <row r="907" spans="2:13" ht="14">
      <c r="B907" s="15"/>
      <c r="C907" s="15"/>
      <c r="D907" s="15"/>
      <c r="E907" s="15"/>
      <c r="F907" s="15"/>
      <c r="G907" s="15"/>
      <c r="H907" s="19"/>
      <c r="I907" s="19"/>
      <c r="J907" s="15"/>
      <c r="K907" s="15"/>
      <c r="L907" s="15"/>
      <c r="M907" s="15"/>
    </row>
    <row r="908" spans="2:13" ht="14">
      <c r="B908" s="15"/>
      <c r="C908" s="15"/>
      <c r="D908" s="15"/>
      <c r="E908" s="15"/>
      <c r="F908" s="15"/>
      <c r="G908" s="15"/>
      <c r="H908" s="19"/>
      <c r="I908" s="19"/>
      <c r="J908" s="15"/>
      <c r="K908" s="15"/>
      <c r="L908" s="15"/>
      <c r="M908" s="15"/>
    </row>
    <row r="909" spans="2:13" ht="14">
      <c r="B909" s="15"/>
      <c r="C909" s="15"/>
      <c r="D909" s="15"/>
      <c r="E909" s="15"/>
      <c r="F909" s="15"/>
      <c r="G909" s="15"/>
      <c r="H909" s="19"/>
      <c r="I909" s="19"/>
      <c r="J909" s="15"/>
      <c r="K909" s="15"/>
      <c r="L909" s="15"/>
      <c r="M909" s="15"/>
    </row>
    <row r="910" spans="2:13" ht="14">
      <c r="B910" s="15"/>
      <c r="C910" s="15"/>
      <c r="D910" s="15"/>
      <c r="E910" s="15"/>
      <c r="F910" s="15"/>
      <c r="G910" s="15"/>
      <c r="H910" s="19"/>
      <c r="I910" s="19"/>
      <c r="J910" s="15"/>
      <c r="K910" s="15"/>
      <c r="L910" s="15"/>
      <c r="M910" s="15"/>
    </row>
    <row r="911" spans="2:13" ht="14">
      <c r="B911" s="15"/>
      <c r="C911" s="15"/>
      <c r="D911" s="15"/>
      <c r="E911" s="15"/>
      <c r="F911" s="15"/>
      <c r="G911" s="15"/>
      <c r="H911" s="19"/>
      <c r="I911" s="19"/>
      <c r="J911" s="15"/>
      <c r="K911" s="15"/>
      <c r="L911" s="15"/>
      <c r="M911" s="15"/>
    </row>
    <row r="912" spans="2:13" ht="14">
      <c r="B912" s="15"/>
      <c r="C912" s="15"/>
      <c r="D912" s="15"/>
      <c r="E912" s="15"/>
      <c r="F912" s="15"/>
      <c r="G912" s="15"/>
      <c r="H912" s="19"/>
      <c r="I912" s="19"/>
      <c r="J912" s="15"/>
      <c r="K912" s="15"/>
      <c r="L912" s="15"/>
      <c r="M912" s="15"/>
    </row>
    <row r="913" spans="2:13" ht="14">
      <c r="B913" s="15"/>
      <c r="C913" s="15"/>
      <c r="D913" s="15"/>
      <c r="E913" s="15"/>
      <c r="F913" s="15"/>
      <c r="G913" s="15"/>
      <c r="H913" s="19"/>
      <c r="I913" s="19"/>
      <c r="J913" s="15"/>
      <c r="K913" s="15"/>
      <c r="L913" s="15"/>
      <c r="M913" s="15"/>
    </row>
    <row r="914" spans="2:13" ht="14">
      <c r="B914" s="15"/>
      <c r="C914" s="15"/>
      <c r="D914" s="15"/>
      <c r="E914" s="15"/>
      <c r="F914" s="15"/>
      <c r="G914" s="15"/>
      <c r="H914" s="19"/>
      <c r="I914" s="19"/>
      <c r="J914" s="15"/>
      <c r="K914" s="15"/>
      <c r="L914" s="15"/>
      <c r="M914" s="15"/>
    </row>
    <row r="915" spans="2:13" ht="14">
      <c r="B915" s="15"/>
      <c r="C915" s="15"/>
      <c r="D915" s="15"/>
      <c r="E915" s="15"/>
      <c r="F915" s="15"/>
      <c r="G915" s="15"/>
      <c r="H915" s="19"/>
      <c r="I915" s="19"/>
      <c r="J915" s="15"/>
      <c r="K915" s="15"/>
      <c r="L915" s="15"/>
      <c r="M915" s="15"/>
    </row>
    <row r="916" spans="2:13" ht="14">
      <c r="B916" s="15"/>
      <c r="C916" s="15"/>
      <c r="D916" s="15"/>
      <c r="E916" s="15"/>
      <c r="F916" s="15"/>
      <c r="G916" s="15"/>
      <c r="H916" s="19"/>
      <c r="I916" s="19"/>
      <c r="J916" s="15"/>
      <c r="K916" s="15"/>
      <c r="L916" s="15"/>
      <c r="M916" s="15"/>
    </row>
    <row r="917" spans="2:13" ht="14">
      <c r="B917" s="15"/>
      <c r="C917" s="15"/>
      <c r="D917" s="15"/>
      <c r="E917" s="15"/>
      <c r="F917" s="15"/>
      <c r="G917" s="15"/>
      <c r="H917" s="19"/>
      <c r="I917" s="19"/>
      <c r="J917" s="15"/>
      <c r="K917" s="15"/>
      <c r="L917" s="15"/>
      <c r="M917" s="15"/>
    </row>
    <row r="918" spans="2:13" ht="14">
      <c r="B918" s="15"/>
      <c r="C918" s="15"/>
      <c r="D918" s="15"/>
      <c r="E918" s="15"/>
      <c r="F918" s="15"/>
      <c r="G918" s="15"/>
      <c r="H918" s="19"/>
      <c r="I918" s="19"/>
      <c r="J918" s="15"/>
      <c r="K918" s="15"/>
      <c r="L918" s="15"/>
      <c r="M918" s="15"/>
    </row>
    <row r="919" spans="2:13" ht="14">
      <c r="B919" s="15"/>
      <c r="C919" s="15"/>
      <c r="D919" s="15"/>
      <c r="E919" s="15"/>
      <c r="F919" s="15"/>
      <c r="G919" s="15"/>
      <c r="H919" s="19"/>
      <c r="I919" s="19"/>
      <c r="J919" s="15"/>
      <c r="K919" s="15"/>
      <c r="L919" s="15"/>
      <c r="M919" s="15"/>
    </row>
    <row r="920" spans="2:13" ht="14">
      <c r="B920" s="15"/>
      <c r="C920" s="15"/>
      <c r="D920" s="15"/>
      <c r="E920" s="15"/>
      <c r="F920" s="15"/>
      <c r="G920" s="15"/>
      <c r="H920" s="19"/>
      <c r="I920" s="19"/>
      <c r="J920" s="15"/>
      <c r="K920" s="15"/>
      <c r="L920" s="15"/>
      <c r="M920" s="15"/>
    </row>
    <row r="921" spans="2:13" ht="14">
      <c r="B921" s="15"/>
      <c r="C921" s="15"/>
      <c r="D921" s="15"/>
      <c r="E921" s="15"/>
      <c r="F921" s="15"/>
      <c r="G921" s="15"/>
      <c r="H921" s="19"/>
      <c r="I921" s="19"/>
      <c r="J921" s="15"/>
      <c r="K921" s="15"/>
      <c r="L921" s="15"/>
      <c r="M921" s="15"/>
    </row>
    <row r="922" spans="2:13" ht="14">
      <c r="B922" s="15"/>
      <c r="C922" s="15"/>
      <c r="D922" s="15"/>
      <c r="E922" s="15"/>
      <c r="F922" s="15"/>
      <c r="G922" s="15"/>
      <c r="H922" s="19"/>
      <c r="I922" s="19"/>
      <c r="J922" s="15"/>
      <c r="K922" s="15"/>
      <c r="L922" s="15"/>
      <c r="M922" s="15"/>
    </row>
    <row r="923" spans="2:13" ht="14">
      <c r="B923" s="15"/>
      <c r="C923" s="15"/>
      <c r="D923" s="15"/>
      <c r="E923" s="15"/>
      <c r="F923" s="15"/>
      <c r="G923" s="15"/>
      <c r="H923" s="19"/>
      <c r="I923" s="19"/>
      <c r="J923" s="15"/>
      <c r="K923" s="15"/>
      <c r="L923" s="15"/>
      <c r="M923" s="15"/>
    </row>
    <row r="924" spans="2:13" ht="14">
      <c r="B924" s="15"/>
      <c r="C924" s="15"/>
      <c r="D924" s="15"/>
      <c r="E924" s="15"/>
      <c r="F924" s="15"/>
      <c r="G924" s="15"/>
      <c r="H924" s="19"/>
      <c r="I924" s="19"/>
      <c r="J924" s="15"/>
      <c r="K924" s="15"/>
      <c r="L924" s="15"/>
      <c r="M924" s="15"/>
    </row>
    <row r="925" spans="2:13" ht="14">
      <c r="B925" s="15"/>
      <c r="C925" s="15"/>
      <c r="D925" s="15"/>
      <c r="E925" s="15"/>
      <c r="F925" s="15"/>
      <c r="G925" s="15"/>
      <c r="H925" s="19"/>
      <c r="I925" s="19"/>
      <c r="J925" s="15"/>
      <c r="K925" s="15"/>
      <c r="L925" s="15"/>
      <c r="M925" s="15"/>
    </row>
    <row r="926" spans="2:13" ht="14">
      <c r="B926" s="15"/>
      <c r="C926" s="15"/>
      <c r="D926" s="15"/>
      <c r="E926" s="15"/>
      <c r="F926" s="15"/>
      <c r="G926" s="15"/>
      <c r="H926" s="19"/>
      <c r="I926" s="19"/>
      <c r="J926" s="15"/>
      <c r="K926" s="15"/>
      <c r="L926" s="15"/>
      <c r="M926" s="15"/>
    </row>
    <row r="927" spans="2:13" ht="14">
      <c r="B927" s="15"/>
      <c r="C927" s="15"/>
      <c r="D927" s="15"/>
      <c r="E927" s="15"/>
      <c r="F927" s="15"/>
      <c r="G927" s="15"/>
      <c r="H927" s="19"/>
      <c r="I927" s="19"/>
      <c r="J927" s="15"/>
      <c r="K927" s="15"/>
      <c r="L927" s="15"/>
      <c r="M927" s="15"/>
    </row>
    <row r="928" spans="2:13" ht="14">
      <c r="B928" s="15"/>
      <c r="C928" s="15"/>
      <c r="D928" s="15"/>
      <c r="E928" s="15"/>
      <c r="F928" s="15"/>
      <c r="G928" s="15"/>
      <c r="H928" s="19"/>
      <c r="I928" s="19"/>
      <c r="J928" s="15"/>
      <c r="K928" s="15"/>
      <c r="L928" s="15"/>
      <c r="M928" s="15"/>
    </row>
    <row r="929" spans="2:13" ht="14">
      <c r="B929" s="15"/>
      <c r="C929" s="15"/>
      <c r="D929" s="15"/>
      <c r="E929" s="15"/>
      <c r="F929" s="15"/>
      <c r="G929" s="15"/>
      <c r="H929" s="19"/>
      <c r="I929" s="19"/>
      <c r="J929" s="15"/>
      <c r="K929" s="15"/>
      <c r="L929" s="15"/>
      <c r="M929" s="15"/>
    </row>
    <row r="930" spans="2:13" ht="14">
      <c r="B930" s="15"/>
      <c r="C930" s="15"/>
      <c r="D930" s="15"/>
      <c r="E930" s="15"/>
      <c r="F930" s="15"/>
      <c r="G930" s="15"/>
      <c r="H930" s="19"/>
      <c r="I930" s="19"/>
      <c r="J930" s="15"/>
      <c r="K930" s="15"/>
      <c r="L930" s="15"/>
      <c r="M930" s="15"/>
    </row>
    <row r="931" spans="2:13" ht="14">
      <c r="B931" s="15"/>
      <c r="C931" s="15"/>
      <c r="D931" s="15"/>
      <c r="E931" s="15"/>
      <c r="F931" s="15"/>
      <c r="G931" s="15"/>
      <c r="H931" s="19"/>
      <c r="I931" s="19"/>
      <c r="J931" s="15"/>
      <c r="K931" s="15"/>
      <c r="L931" s="15"/>
      <c r="M931" s="15"/>
    </row>
    <row r="932" spans="2:13" ht="14">
      <c r="B932" s="15"/>
      <c r="C932" s="15"/>
      <c r="D932" s="15"/>
      <c r="E932" s="15"/>
      <c r="F932" s="15"/>
      <c r="G932" s="15"/>
      <c r="H932" s="19"/>
      <c r="I932" s="19"/>
      <c r="J932" s="15"/>
      <c r="K932" s="15"/>
      <c r="L932" s="15"/>
      <c r="M932" s="15"/>
    </row>
    <row r="933" spans="2:13" ht="14">
      <c r="B933" s="15"/>
      <c r="C933" s="15"/>
      <c r="D933" s="15"/>
      <c r="E933" s="15"/>
      <c r="F933" s="15"/>
      <c r="G933" s="15"/>
      <c r="H933" s="19"/>
      <c r="I933" s="19"/>
      <c r="J933" s="15"/>
      <c r="K933" s="15"/>
      <c r="L933" s="15"/>
      <c r="M933" s="15"/>
    </row>
    <row r="934" spans="2:13" ht="14">
      <c r="B934" s="15"/>
      <c r="C934" s="15"/>
      <c r="D934" s="15"/>
      <c r="E934" s="15"/>
      <c r="F934" s="15"/>
      <c r="G934" s="15"/>
      <c r="H934" s="19"/>
      <c r="I934" s="19"/>
      <c r="J934" s="15"/>
      <c r="K934" s="15"/>
      <c r="L934" s="15"/>
      <c r="M934" s="15"/>
    </row>
    <row r="935" spans="2:13" ht="14">
      <c r="B935" s="15"/>
      <c r="C935" s="15"/>
      <c r="D935" s="15"/>
      <c r="E935" s="15"/>
      <c r="F935" s="15"/>
      <c r="G935" s="15"/>
      <c r="H935" s="19"/>
      <c r="I935" s="19"/>
      <c r="J935" s="15"/>
      <c r="K935" s="15"/>
      <c r="L935" s="15"/>
      <c r="M935" s="15"/>
    </row>
    <row r="936" spans="2:13" ht="14">
      <c r="B936" s="15"/>
      <c r="C936" s="15"/>
      <c r="D936" s="15"/>
      <c r="E936" s="15"/>
      <c r="F936" s="15"/>
      <c r="G936" s="15"/>
      <c r="H936" s="19"/>
      <c r="I936" s="19"/>
      <c r="J936" s="15"/>
      <c r="K936" s="15"/>
      <c r="L936" s="15"/>
      <c r="M936" s="15"/>
    </row>
    <row r="937" spans="2:13" ht="14">
      <c r="B937" s="15"/>
      <c r="C937" s="15"/>
      <c r="D937" s="15"/>
      <c r="E937" s="15"/>
      <c r="F937" s="15"/>
      <c r="G937" s="15"/>
      <c r="H937" s="19"/>
      <c r="I937" s="19"/>
      <c r="J937" s="15"/>
      <c r="K937" s="15"/>
      <c r="L937" s="15"/>
      <c r="M937" s="15"/>
    </row>
    <row r="938" spans="2:13" ht="14">
      <c r="B938" s="15"/>
      <c r="C938" s="15"/>
      <c r="D938" s="15"/>
      <c r="E938" s="15"/>
      <c r="F938" s="15"/>
      <c r="G938" s="15"/>
      <c r="H938" s="19"/>
      <c r="I938" s="19"/>
      <c r="J938" s="15"/>
      <c r="K938" s="15"/>
      <c r="L938" s="15"/>
      <c r="M938" s="15"/>
    </row>
    <row r="939" spans="2:13" ht="14">
      <c r="B939" s="15"/>
      <c r="C939" s="15"/>
      <c r="D939" s="15"/>
      <c r="E939" s="15"/>
      <c r="F939" s="15"/>
      <c r="G939" s="15"/>
      <c r="H939" s="19"/>
      <c r="I939" s="19"/>
      <c r="J939" s="15"/>
      <c r="K939" s="15"/>
      <c r="L939" s="15"/>
      <c r="M939" s="15"/>
    </row>
    <row r="940" spans="2:13" ht="14">
      <c r="B940" s="15"/>
      <c r="C940" s="15"/>
      <c r="D940" s="15"/>
      <c r="E940" s="15"/>
      <c r="F940" s="15"/>
      <c r="G940" s="15"/>
      <c r="H940" s="19"/>
      <c r="I940" s="19"/>
      <c r="J940" s="15"/>
      <c r="K940" s="15"/>
      <c r="L940" s="15"/>
      <c r="M940" s="15"/>
    </row>
    <row r="941" spans="2:13" ht="14">
      <c r="B941" s="15"/>
      <c r="C941" s="15"/>
      <c r="D941" s="15"/>
      <c r="E941" s="15"/>
      <c r="F941" s="15"/>
      <c r="G941" s="15"/>
      <c r="H941" s="19"/>
      <c r="I941" s="19"/>
      <c r="J941" s="15"/>
      <c r="K941" s="15"/>
      <c r="L941" s="15"/>
      <c r="M941" s="15"/>
    </row>
    <row r="942" spans="2:13" ht="14">
      <c r="B942" s="15"/>
      <c r="C942" s="15"/>
      <c r="D942" s="15"/>
      <c r="E942" s="15"/>
      <c r="F942" s="15"/>
      <c r="G942" s="15"/>
      <c r="H942" s="19"/>
      <c r="I942" s="19"/>
      <c r="J942" s="15"/>
      <c r="K942" s="15"/>
      <c r="L942" s="15"/>
      <c r="M942" s="15"/>
    </row>
    <row r="943" spans="2:13" ht="14">
      <c r="B943" s="15"/>
      <c r="C943" s="15"/>
      <c r="D943" s="15"/>
      <c r="E943" s="15"/>
      <c r="F943" s="15"/>
      <c r="G943" s="15"/>
      <c r="H943" s="19"/>
      <c r="I943" s="19"/>
      <c r="J943" s="15"/>
      <c r="K943" s="15"/>
      <c r="L943" s="15"/>
      <c r="M943" s="15"/>
    </row>
    <row r="944" spans="2:13" ht="14">
      <c r="B944" s="15"/>
      <c r="C944" s="15"/>
      <c r="D944" s="15"/>
      <c r="E944" s="15"/>
      <c r="F944" s="15"/>
      <c r="G944" s="15"/>
      <c r="H944" s="19"/>
      <c r="I944" s="19"/>
      <c r="J944" s="15"/>
      <c r="K944" s="15"/>
      <c r="L944" s="15"/>
      <c r="M944" s="15"/>
    </row>
    <row r="945" spans="2:13" ht="14">
      <c r="B945" s="15"/>
      <c r="C945" s="15"/>
      <c r="D945" s="15"/>
      <c r="E945" s="15"/>
      <c r="F945" s="15"/>
      <c r="G945" s="15"/>
      <c r="H945" s="19"/>
      <c r="I945" s="19"/>
      <c r="J945" s="15"/>
      <c r="K945" s="15"/>
      <c r="L945" s="15"/>
      <c r="M945" s="15"/>
    </row>
    <row r="946" spans="2:13" ht="14">
      <c r="B946" s="15"/>
      <c r="C946" s="15"/>
      <c r="D946" s="15"/>
      <c r="E946" s="15"/>
      <c r="F946" s="15"/>
      <c r="G946" s="15"/>
      <c r="H946" s="19"/>
      <c r="I946" s="19"/>
      <c r="J946" s="15"/>
      <c r="K946" s="15"/>
      <c r="L946" s="15"/>
      <c r="M946" s="15"/>
    </row>
    <row r="947" spans="2:13" ht="14">
      <c r="B947" s="15"/>
      <c r="C947" s="15"/>
      <c r="D947" s="15"/>
      <c r="E947" s="15"/>
      <c r="F947" s="15"/>
      <c r="G947" s="15"/>
      <c r="H947" s="19"/>
      <c r="I947" s="19"/>
      <c r="J947" s="15"/>
      <c r="K947" s="15"/>
      <c r="L947" s="15"/>
      <c r="M947" s="15"/>
    </row>
    <row r="948" spans="2:13" ht="14">
      <c r="B948" s="15"/>
      <c r="C948" s="15"/>
      <c r="D948" s="15"/>
      <c r="E948" s="15"/>
      <c r="F948" s="15"/>
      <c r="G948" s="15"/>
      <c r="H948" s="19"/>
      <c r="I948" s="19"/>
      <c r="J948" s="15"/>
      <c r="K948" s="15"/>
      <c r="L948" s="15"/>
      <c r="M948" s="15"/>
    </row>
    <row r="949" spans="2:13" ht="14">
      <c r="B949" s="15"/>
      <c r="C949" s="15"/>
      <c r="D949" s="15"/>
      <c r="E949" s="15"/>
      <c r="F949" s="15"/>
      <c r="G949" s="15"/>
      <c r="H949" s="19"/>
      <c r="I949" s="19"/>
      <c r="J949" s="15"/>
      <c r="K949" s="15"/>
      <c r="L949" s="15"/>
      <c r="M949" s="15"/>
    </row>
    <row r="950" spans="2:13" ht="14">
      <c r="B950" s="15"/>
      <c r="C950" s="15"/>
      <c r="D950" s="15"/>
      <c r="E950" s="15"/>
      <c r="F950" s="15"/>
      <c r="G950" s="15"/>
      <c r="H950" s="19"/>
      <c r="I950" s="19"/>
      <c r="J950" s="15"/>
      <c r="K950" s="15"/>
      <c r="L950" s="15"/>
      <c r="M950" s="15"/>
    </row>
    <row r="951" spans="2:13" ht="14">
      <c r="B951" s="15"/>
      <c r="C951" s="15"/>
      <c r="D951" s="15"/>
      <c r="E951" s="15"/>
      <c r="F951" s="15"/>
      <c r="G951" s="15"/>
      <c r="H951" s="19"/>
      <c r="I951" s="19"/>
      <c r="J951" s="15"/>
      <c r="K951" s="15"/>
      <c r="L951" s="15"/>
      <c r="M951" s="15"/>
    </row>
    <row r="952" spans="2:13" ht="14">
      <c r="B952" s="15"/>
      <c r="C952" s="15"/>
      <c r="D952" s="15"/>
      <c r="E952" s="15"/>
      <c r="F952" s="15"/>
      <c r="G952" s="15"/>
      <c r="H952" s="19"/>
      <c r="I952" s="19"/>
      <c r="J952" s="15"/>
      <c r="K952" s="15"/>
      <c r="L952" s="15"/>
      <c r="M952" s="15"/>
    </row>
    <row r="953" spans="2:13" ht="14">
      <c r="B953" s="15"/>
      <c r="C953" s="15"/>
      <c r="D953" s="15"/>
      <c r="E953" s="15"/>
      <c r="F953" s="15"/>
      <c r="G953" s="15"/>
      <c r="H953" s="19"/>
      <c r="I953" s="19"/>
      <c r="J953" s="15"/>
      <c r="K953" s="15"/>
      <c r="L953" s="15"/>
      <c r="M953" s="15"/>
    </row>
    <row r="954" spans="2:13" ht="14">
      <c r="B954" s="15"/>
      <c r="C954" s="15"/>
      <c r="D954" s="15"/>
      <c r="E954" s="15"/>
      <c r="F954" s="15"/>
      <c r="G954" s="15"/>
      <c r="H954" s="19"/>
      <c r="I954" s="19"/>
      <c r="J954" s="15"/>
      <c r="K954" s="15"/>
      <c r="L954" s="15"/>
      <c r="M954" s="15"/>
    </row>
    <row r="955" spans="2:13" ht="14">
      <c r="B955" s="15"/>
      <c r="C955" s="15"/>
      <c r="D955" s="15"/>
      <c r="E955" s="15"/>
      <c r="F955" s="15"/>
      <c r="G955" s="15"/>
      <c r="H955" s="19"/>
      <c r="I955" s="19"/>
      <c r="J955" s="15"/>
      <c r="K955" s="15"/>
      <c r="L955" s="15"/>
      <c r="M955" s="15"/>
    </row>
    <row r="956" spans="2:13" ht="14">
      <c r="B956" s="15"/>
      <c r="C956" s="15"/>
      <c r="D956" s="15"/>
      <c r="E956" s="15"/>
      <c r="F956" s="15"/>
      <c r="G956" s="15"/>
      <c r="H956" s="19"/>
      <c r="I956" s="19"/>
      <c r="J956" s="15"/>
      <c r="K956" s="15"/>
      <c r="L956" s="15"/>
      <c r="M956" s="15"/>
    </row>
    <row r="957" spans="2:13" ht="14">
      <c r="B957" s="15"/>
      <c r="C957" s="15"/>
      <c r="D957" s="15"/>
      <c r="E957" s="15"/>
      <c r="F957" s="15"/>
      <c r="G957" s="15"/>
      <c r="H957" s="19"/>
      <c r="I957" s="19"/>
      <c r="J957" s="15"/>
      <c r="K957" s="15"/>
      <c r="L957" s="15"/>
      <c r="M957" s="15"/>
    </row>
    <row r="958" spans="2:13" ht="14">
      <c r="B958" s="15"/>
      <c r="C958" s="15"/>
      <c r="D958" s="15"/>
      <c r="E958" s="15"/>
      <c r="F958" s="15"/>
      <c r="G958" s="15"/>
      <c r="H958" s="19"/>
      <c r="I958" s="19"/>
      <c r="J958" s="15"/>
      <c r="K958" s="15"/>
      <c r="L958" s="15"/>
      <c r="M958" s="15"/>
    </row>
    <row r="959" spans="2:13" ht="14">
      <c r="B959" s="15"/>
      <c r="C959" s="15"/>
      <c r="D959" s="15"/>
      <c r="E959" s="15"/>
      <c r="F959" s="15"/>
      <c r="G959" s="15"/>
      <c r="H959" s="19"/>
      <c r="I959" s="19"/>
      <c r="J959" s="15"/>
      <c r="K959" s="15"/>
      <c r="L959" s="15"/>
      <c r="M959" s="15"/>
    </row>
    <row r="960" spans="2:13" ht="14">
      <c r="B960" s="15"/>
      <c r="C960" s="15"/>
      <c r="D960" s="15"/>
      <c r="E960" s="15"/>
      <c r="F960" s="15"/>
      <c r="G960" s="15"/>
      <c r="H960" s="19"/>
      <c r="I960" s="19"/>
      <c r="J960" s="15"/>
      <c r="K960" s="15"/>
      <c r="L960" s="15"/>
      <c r="M960" s="15"/>
    </row>
    <row r="961" spans="2:13" ht="14">
      <c r="B961" s="15"/>
      <c r="C961" s="15"/>
      <c r="D961" s="15"/>
      <c r="E961" s="15"/>
      <c r="F961" s="15"/>
      <c r="G961" s="15"/>
      <c r="H961" s="19"/>
      <c r="I961" s="19"/>
      <c r="J961" s="15"/>
      <c r="K961" s="15"/>
      <c r="L961" s="15"/>
      <c r="M961" s="15"/>
    </row>
    <row r="962" spans="2:13" ht="14">
      <c r="B962" s="15"/>
      <c r="C962" s="15"/>
      <c r="D962" s="15"/>
      <c r="E962" s="15"/>
      <c r="F962" s="15"/>
      <c r="G962" s="15"/>
      <c r="H962" s="19"/>
      <c r="I962" s="19"/>
      <c r="J962" s="15"/>
      <c r="K962" s="15"/>
      <c r="L962" s="15"/>
      <c r="M962" s="15"/>
    </row>
    <row r="963" spans="2:13" ht="14">
      <c r="B963" s="15"/>
      <c r="C963" s="15"/>
      <c r="D963" s="15"/>
      <c r="E963" s="15"/>
      <c r="F963" s="15"/>
      <c r="G963" s="15"/>
      <c r="H963" s="19"/>
      <c r="I963" s="19"/>
      <c r="J963" s="15"/>
      <c r="K963" s="15"/>
      <c r="L963" s="15"/>
      <c r="M963" s="15"/>
    </row>
    <row r="964" spans="2:13" ht="14">
      <c r="B964" s="15"/>
      <c r="C964" s="15"/>
      <c r="D964" s="15"/>
      <c r="E964" s="15"/>
      <c r="F964" s="15"/>
      <c r="G964" s="15"/>
      <c r="H964" s="19"/>
      <c r="I964" s="19"/>
      <c r="J964" s="15"/>
      <c r="K964" s="15"/>
      <c r="L964" s="15"/>
      <c r="M964" s="15"/>
    </row>
    <row r="965" spans="2:13" ht="14">
      <c r="B965" s="15"/>
      <c r="C965" s="15"/>
      <c r="D965" s="15"/>
      <c r="E965" s="15"/>
      <c r="F965" s="15"/>
      <c r="G965" s="15"/>
      <c r="H965" s="19"/>
      <c r="I965" s="19"/>
      <c r="J965" s="15"/>
      <c r="K965" s="15"/>
      <c r="L965" s="15"/>
      <c r="M965" s="15"/>
    </row>
    <row r="966" spans="2:13" ht="14">
      <c r="B966" s="15"/>
      <c r="C966" s="15"/>
      <c r="D966" s="15"/>
      <c r="E966" s="15"/>
      <c r="F966" s="15"/>
      <c r="G966" s="15"/>
      <c r="H966" s="19"/>
      <c r="I966" s="19"/>
      <c r="J966" s="15"/>
      <c r="K966" s="15"/>
      <c r="L966" s="15"/>
      <c r="M966" s="15"/>
    </row>
    <row r="967" spans="2:13" ht="14">
      <c r="B967" s="15"/>
      <c r="C967" s="15"/>
      <c r="D967" s="15"/>
      <c r="E967" s="15"/>
      <c r="F967" s="15"/>
      <c r="G967" s="15"/>
      <c r="H967" s="19"/>
      <c r="I967" s="19"/>
      <c r="J967" s="15"/>
      <c r="K967" s="15"/>
      <c r="L967" s="15"/>
      <c r="M967" s="15"/>
    </row>
    <row r="968" spans="2:13" ht="14">
      <c r="B968" s="15"/>
      <c r="C968" s="15"/>
      <c r="D968" s="15"/>
      <c r="E968" s="15"/>
      <c r="F968" s="15"/>
      <c r="G968" s="15"/>
      <c r="H968" s="19"/>
      <c r="I968" s="19"/>
      <c r="J968" s="15"/>
      <c r="K968" s="15"/>
      <c r="L968" s="15"/>
      <c r="M968" s="15"/>
    </row>
    <row r="969" spans="2:13" ht="14">
      <c r="B969" s="15"/>
      <c r="C969" s="15"/>
      <c r="D969" s="15"/>
      <c r="E969" s="15"/>
      <c r="F969" s="15"/>
      <c r="G969" s="15"/>
      <c r="H969" s="19"/>
      <c r="I969" s="19"/>
      <c r="J969" s="15"/>
      <c r="K969" s="15"/>
      <c r="L969" s="15"/>
      <c r="M969" s="15"/>
    </row>
    <row r="970" spans="2:13" ht="14">
      <c r="B970" s="15"/>
      <c r="C970" s="15"/>
      <c r="D970" s="15"/>
      <c r="E970" s="15"/>
      <c r="F970" s="15"/>
      <c r="G970" s="15"/>
      <c r="H970" s="19"/>
      <c r="I970" s="19"/>
      <c r="J970" s="15"/>
      <c r="K970" s="15"/>
      <c r="L970" s="15"/>
      <c r="M970" s="15"/>
    </row>
    <row r="971" spans="2:13" ht="14">
      <c r="B971" s="15"/>
      <c r="C971" s="15"/>
      <c r="D971" s="15"/>
      <c r="E971" s="15"/>
      <c r="F971" s="15"/>
      <c r="G971" s="15"/>
      <c r="H971" s="19"/>
      <c r="I971" s="19"/>
      <c r="J971" s="15"/>
      <c r="K971" s="15"/>
      <c r="L971" s="15"/>
      <c r="M971" s="15"/>
    </row>
    <row r="972" spans="2:13" ht="14">
      <c r="B972" s="15"/>
      <c r="C972" s="15"/>
      <c r="D972" s="15"/>
      <c r="E972" s="15"/>
      <c r="F972" s="15"/>
      <c r="G972" s="15"/>
      <c r="H972" s="19"/>
      <c r="I972" s="19"/>
      <c r="J972" s="15"/>
      <c r="K972" s="15"/>
      <c r="L972" s="15"/>
      <c r="M972" s="15"/>
    </row>
    <row r="973" spans="2:13" ht="14">
      <c r="B973" s="15"/>
      <c r="C973" s="15"/>
      <c r="D973" s="15"/>
      <c r="E973" s="15"/>
      <c r="F973" s="15"/>
      <c r="G973" s="15"/>
      <c r="H973" s="19"/>
      <c r="I973" s="19"/>
      <c r="J973" s="15"/>
      <c r="K973" s="15"/>
      <c r="L973" s="15"/>
      <c r="M973" s="15"/>
    </row>
    <row r="974" spans="2:13" ht="14">
      <c r="B974" s="15"/>
      <c r="C974" s="15"/>
      <c r="D974" s="15"/>
      <c r="E974" s="15"/>
      <c r="F974" s="15"/>
      <c r="G974" s="15"/>
      <c r="H974" s="19"/>
      <c r="I974" s="19"/>
      <c r="J974" s="15"/>
      <c r="K974" s="15"/>
      <c r="L974" s="15"/>
      <c r="M974" s="15"/>
    </row>
    <row r="975" spans="2:13" ht="14">
      <c r="B975" s="15"/>
      <c r="C975" s="15"/>
      <c r="D975" s="15"/>
      <c r="E975" s="15"/>
      <c r="F975" s="15"/>
      <c r="G975" s="15"/>
      <c r="H975" s="19"/>
      <c r="I975" s="19"/>
      <c r="J975" s="15"/>
      <c r="K975" s="15"/>
      <c r="L975" s="15"/>
      <c r="M975" s="15"/>
    </row>
    <row r="976" spans="2:13" ht="14">
      <c r="B976" s="15"/>
      <c r="C976" s="15"/>
      <c r="D976" s="15"/>
      <c r="E976" s="15"/>
      <c r="F976" s="15"/>
      <c r="G976" s="15"/>
      <c r="H976" s="19"/>
      <c r="I976" s="19"/>
      <c r="J976" s="15"/>
      <c r="K976" s="15"/>
      <c r="L976" s="15"/>
      <c r="M976" s="15"/>
    </row>
    <row r="977" spans="2:13" ht="14">
      <c r="B977" s="15"/>
      <c r="C977" s="15"/>
      <c r="D977" s="15"/>
      <c r="E977" s="15"/>
      <c r="F977" s="15"/>
      <c r="G977" s="15"/>
      <c r="H977" s="19"/>
      <c r="I977" s="19"/>
      <c r="J977" s="15"/>
      <c r="K977" s="15"/>
      <c r="L977" s="15"/>
      <c r="M977" s="15"/>
    </row>
    <row r="978" spans="2:13" ht="14">
      <c r="B978" s="15"/>
      <c r="C978" s="15"/>
      <c r="D978" s="15"/>
      <c r="E978" s="15"/>
      <c r="F978" s="15"/>
      <c r="G978" s="15"/>
      <c r="H978" s="19"/>
      <c r="I978" s="19"/>
      <c r="J978" s="15"/>
      <c r="K978" s="15"/>
      <c r="L978" s="15"/>
      <c r="M978" s="15"/>
    </row>
    <row r="979" spans="2:13" ht="14">
      <c r="B979" s="15"/>
      <c r="C979" s="15"/>
      <c r="D979" s="15"/>
      <c r="E979" s="15"/>
      <c r="F979" s="15"/>
      <c r="G979" s="15"/>
      <c r="H979" s="19"/>
      <c r="I979" s="19"/>
      <c r="J979" s="15"/>
      <c r="K979" s="15"/>
      <c r="L979" s="15"/>
      <c r="M979" s="15"/>
    </row>
    <row r="980" spans="2:13" ht="14">
      <c r="B980" s="15"/>
      <c r="C980" s="15"/>
      <c r="D980" s="15"/>
      <c r="E980" s="15"/>
      <c r="F980" s="15"/>
      <c r="G980" s="15"/>
      <c r="H980" s="19"/>
      <c r="I980" s="19"/>
      <c r="J980" s="15"/>
      <c r="K980" s="15"/>
      <c r="L980" s="15"/>
      <c r="M980" s="15"/>
    </row>
    <row r="981" spans="2:13" ht="14">
      <c r="B981" s="15"/>
      <c r="C981" s="15"/>
      <c r="D981" s="15"/>
      <c r="E981" s="15"/>
      <c r="F981" s="15"/>
      <c r="G981" s="15"/>
      <c r="H981" s="19"/>
      <c r="I981" s="19"/>
      <c r="J981" s="15"/>
      <c r="K981" s="15"/>
      <c r="L981" s="15"/>
      <c r="M981" s="15"/>
    </row>
    <row r="982" spans="2:13" ht="14">
      <c r="B982" s="15"/>
      <c r="C982" s="15"/>
      <c r="D982" s="15"/>
      <c r="E982" s="15"/>
      <c r="F982" s="15"/>
      <c r="G982" s="15"/>
      <c r="H982" s="19"/>
      <c r="I982" s="19"/>
      <c r="J982" s="15"/>
      <c r="K982" s="15"/>
      <c r="L982" s="15"/>
      <c r="M982" s="15"/>
    </row>
    <row r="983" spans="2:13" ht="14">
      <c r="B983" s="15"/>
      <c r="C983" s="15"/>
      <c r="D983" s="15"/>
      <c r="E983" s="15"/>
      <c r="F983" s="15"/>
      <c r="G983" s="15"/>
      <c r="H983" s="19"/>
      <c r="I983" s="19"/>
      <c r="J983" s="15"/>
      <c r="K983" s="15"/>
      <c r="L983" s="15"/>
      <c r="M983" s="15"/>
    </row>
    <row r="984" spans="2:13" ht="14">
      <c r="B984" s="15"/>
      <c r="C984" s="15"/>
      <c r="D984" s="15"/>
      <c r="E984" s="15"/>
      <c r="F984" s="15"/>
      <c r="G984" s="15"/>
      <c r="H984" s="19"/>
      <c r="I984" s="19"/>
      <c r="J984" s="15"/>
      <c r="K984" s="15"/>
      <c r="L984" s="15"/>
      <c r="M984" s="15"/>
    </row>
    <row r="985" spans="2:13" ht="14">
      <c r="B985" s="15"/>
      <c r="C985" s="15"/>
      <c r="D985" s="15"/>
      <c r="E985" s="15"/>
      <c r="F985" s="15"/>
      <c r="G985" s="15"/>
      <c r="H985" s="19"/>
      <c r="I985" s="19"/>
      <c r="J985" s="15"/>
      <c r="K985" s="15"/>
      <c r="L985" s="15"/>
      <c r="M985" s="15"/>
    </row>
    <row r="986" spans="2:13" ht="14">
      <c r="B986" s="15"/>
      <c r="C986" s="15"/>
      <c r="D986" s="15"/>
      <c r="E986" s="15"/>
      <c r="F986" s="15"/>
      <c r="G986" s="15"/>
      <c r="H986" s="19"/>
      <c r="I986" s="19"/>
      <c r="J986" s="15"/>
      <c r="K986" s="15"/>
      <c r="L986" s="15"/>
      <c r="M986" s="15"/>
    </row>
    <row r="987" spans="2:13" ht="14">
      <c r="B987" s="15"/>
      <c r="C987" s="15"/>
      <c r="D987" s="15"/>
      <c r="E987" s="15"/>
      <c r="F987" s="15"/>
      <c r="G987" s="15"/>
      <c r="H987" s="19"/>
      <c r="I987" s="19"/>
      <c r="J987" s="15"/>
      <c r="K987" s="15"/>
      <c r="L987" s="15"/>
      <c r="M987" s="15"/>
    </row>
    <row r="988" spans="2:13" ht="14">
      <c r="B988" s="15"/>
      <c r="C988" s="15"/>
      <c r="D988" s="15"/>
      <c r="E988" s="15"/>
      <c r="F988" s="15"/>
      <c r="G988" s="15"/>
      <c r="H988" s="19"/>
      <c r="I988" s="19"/>
      <c r="J988" s="15"/>
      <c r="K988" s="15"/>
      <c r="L988" s="15"/>
      <c r="M988" s="15"/>
    </row>
    <row r="989" spans="2:13" ht="14">
      <c r="B989" s="15"/>
      <c r="C989" s="15"/>
      <c r="D989" s="15"/>
      <c r="E989" s="15"/>
      <c r="F989" s="15"/>
      <c r="G989" s="15"/>
      <c r="H989" s="19"/>
      <c r="I989" s="19"/>
      <c r="J989" s="15"/>
      <c r="K989" s="15"/>
      <c r="L989" s="15"/>
      <c r="M989" s="15"/>
    </row>
    <row r="990" spans="2:13" ht="14">
      <c r="B990" s="15"/>
      <c r="C990" s="15"/>
      <c r="D990" s="15"/>
      <c r="E990" s="15"/>
      <c r="F990" s="15"/>
      <c r="G990" s="15"/>
      <c r="H990" s="19"/>
      <c r="I990" s="19"/>
      <c r="J990" s="15"/>
      <c r="K990" s="15"/>
      <c r="L990" s="15"/>
      <c r="M990" s="15"/>
    </row>
    <row r="991" spans="2:13" ht="14">
      <c r="B991" s="15"/>
      <c r="C991" s="15"/>
      <c r="D991" s="15"/>
      <c r="E991" s="15"/>
      <c r="F991" s="15"/>
      <c r="G991" s="15"/>
      <c r="H991" s="19"/>
      <c r="I991" s="19"/>
      <c r="J991" s="15"/>
      <c r="K991" s="15"/>
      <c r="L991" s="15"/>
      <c r="M991" s="15"/>
    </row>
    <row r="992" spans="2:13" ht="14">
      <c r="B992" s="15"/>
      <c r="C992" s="15"/>
      <c r="D992" s="15"/>
      <c r="E992" s="15"/>
      <c r="F992" s="15"/>
      <c r="G992" s="15"/>
      <c r="H992" s="19"/>
      <c r="I992" s="19"/>
      <c r="J992" s="15"/>
      <c r="K992" s="15"/>
      <c r="L992" s="15"/>
      <c r="M992" s="15"/>
    </row>
    <row r="993" spans="2:13" ht="14">
      <c r="B993" s="15"/>
      <c r="C993" s="15"/>
      <c r="D993" s="15"/>
      <c r="E993" s="15"/>
      <c r="F993" s="15"/>
      <c r="G993" s="15"/>
      <c r="H993" s="19"/>
      <c r="I993" s="19"/>
      <c r="J993" s="15"/>
      <c r="K993" s="15"/>
      <c r="L993" s="15"/>
      <c r="M993" s="15"/>
    </row>
    <row r="994" spans="2:13" ht="14">
      <c r="B994" s="15"/>
      <c r="C994" s="15"/>
      <c r="D994" s="15"/>
      <c r="E994" s="15"/>
      <c r="F994" s="15"/>
      <c r="G994" s="15"/>
      <c r="H994" s="19"/>
      <c r="I994" s="19"/>
      <c r="J994" s="15"/>
      <c r="K994" s="15"/>
      <c r="L994" s="15"/>
      <c r="M994" s="15"/>
    </row>
    <row r="995" spans="2:13" ht="14">
      <c r="B995" s="15"/>
      <c r="C995" s="15"/>
      <c r="D995" s="15"/>
      <c r="E995" s="15"/>
      <c r="F995" s="15"/>
      <c r="G995" s="15"/>
      <c r="H995" s="19"/>
      <c r="I995" s="19"/>
      <c r="J995" s="15"/>
      <c r="K995" s="15"/>
      <c r="L995" s="15"/>
      <c r="M995" s="15"/>
    </row>
    <row r="996" spans="2:13" ht="14">
      <c r="B996" s="15"/>
      <c r="C996" s="15"/>
      <c r="D996" s="15"/>
      <c r="E996" s="15"/>
      <c r="F996" s="15"/>
      <c r="G996" s="15"/>
      <c r="H996" s="19"/>
      <c r="I996" s="19"/>
      <c r="J996" s="15"/>
      <c r="K996" s="15"/>
      <c r="L996" s="15"/>
      <c r="M996" s="15"/>
    </row>
    <row r="997" spans="2:13" ht="14">
      <c r="B997" s="15"/>
      <c r="C997" s="15"/>
      <c r="D997" s="15"/>
      <c r="E997" s="15"/>
      <c r="F997" s="15"/>
      <c r="G997" s="15"/>
      <c r="H997" s="19"/>
      <c r="I997" s="19"/>
      <c r="J997" s="15"/>
      <c r="K997" s="15"/>
      <c r="L997" s="15"/>
      <c r="M997" s="15"/>
    </row>
    <row r="998" spans="2:13" ht="14">
      <c r="B998" s="15"/>
      <c r="C998" s="15"/>
      <c r="D998" s="15"/>
      <c r="E998" s="15"/>
      <c r="F998" s="15"/>
      <c r="G998" s="15"/>
      <c r="H998" s="19"/>
      <c r="I998" s="19"/>
      <c r="J998" s="15"/>
      <c r="K998" s="15"/>
      <c r="L998" s="15"/>
      <c r="M998" s="15"/>
    </row>
    <row r="999" spans="2:13" ht="14">
      <c r="B999" s="15"/>
      <c r="C999" s="15"/>
      <c r="D999" s="15"/>
      <c r="E999" s="15"/>
      <c r="F999" s="15"/>
      <c r="G999" s="15"/>
      <c r="H999" s="19"/>
      <c r="I999" s="19"/>
      <c r="J999" s="15"/>
      <c r="K999" s="15"/>
      <c r="L999" s="15"/>
      <c r="M999" s="15"/>
    </row>
    <row r="1000" spans="2:13" ht="14">
      <c r="B1000" s="15"/>
      <c r="C1000" s="15"/>
      <c r="D1000" s="15"/>
      <c r="E1000" s="15"/>
      <c r="F1000" s="15"/>
      <c r="G1000" s="15"/>
      <c r="H1000" s="19"/>
      <c r="I1000" s="19"/>
      <c r="J1000" s="15"/>
      <c r="K1000" s="15"/>
      <c r="L1000" s="15"/>
      <c r="M1000" s="15"/>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outlinePr summaryBelow="0" summaryRight="0"/>
  </sheetPr>
  <dimension ref="A1:E21"/>
  <sheetViews>
    <sheetView workbookViewId="0"/>
  </sheetViews>
  <sheetFormatPr baseColWidth="10" defaultColWidth="12.5" defaultRowHeight="15.75" customHeight="1"/>
  <cols>
    <col min="2" max="2" width="97.5" customWidth="1"/>
    <col min="3" max="3" width="93.83203125" customWidth="1"/>
    <col min="4" max="4" width="23.83203125" customWidth="1"/>
  </cols>
  <sheetData>
    <row r="1" spans="1:5" ht="14">
      <c r="A1" s="22" t="s">
        <v>833</v>
      </c>
      <c r="B1" s="23" t="s">
        <v>834</v>
      </c>
      <c r="C1" s="24"/>
    </row>
    <row r="2" spans="1:5" ht="28">
      <c r="A2" s="22" t="s">
        <v>835</v>
      </c>
      <c r="B2" s="23" t="s">
        <v>836</v>
      </c>
      <c r="C2" s="445" t="s">
        <v>837</v>
      </c>
    </row>
    <row r="3" spans="1:5" ht="89.25" customHeight="1">
      <c r="A3" s="22" t="s">
        <v>272</v>
      </c>
      <c r="B3" s="23" t="s">
        <v>838</v>
      </c>
      <c r="C3" s="387"/>
    </row>
    <row r="4" spans="1:5" ht="98">
      <c r="A4" s="22" t="s">
        <v>21</v>
      </c>
      <c r="B4" s="23" t="s">
        <v>839</v>
      </c>
      <c r="C4" s="23" t="s">
        <v>840</v>
      </c>
    </row>
    <row r="5" spans="1:5" ht="13">
      <c r="B5" s="21"/>
    </row>
    <row r="6" spans="1:5" ht="13">
      <c r="A6" s="20" t="s">
        <v>841</v>
      </c>
      <c r="B6" s="21"/>
      <c r="C6" s="20" t="s">
        <v>842</v>
      </c>
    </row>
    <row r="7" spans="1:5" ht="13">
      <c r="A7" s="20" t="s">
        <v>843</v>
      </c>
      <c r="B7" s="21"/>
      <c r="C7" s="25" t="s">
        <v>844</v>
      </c>
    </row>
    <row r="8" spans="1:5" ht="13">
      <c r="B8" s="21"/>
      <c r="C8" s="25" t="s">
        <v>845</v>
      </c>
      <c r="D8" s="20" t="s">
        <v>846</v>
      </c>
      <c r="E8" s="20" t="s">
        <v>847</v>
      </c>
    </row>
    <row r="9" spans="1:5" ht="13">
      <c r="B9" s="21"/>
      <c r="C9" s="20" t="s">
        <v>848</v>
      </c>
      <c r="D9" s="20" t="s">
        <v>254</v>
      </c>
      <c r="E9" s="20">
        <v>2</v>
      </c>
    </row>
    <row r="10" spans="1:5" ht="13">
      <c r="B10" s="21"/>
      <c r="C10" s="20" t="s">
        <v>849</v>
      </c>
      <c r="D10" s="20" t="s">
        <v>252</v>
      </c>
      <c r="E10" s="20">
        <v>0</v>
      </c>
    </row>
    <row r="11" spans="1:5" ht="13">
      <c r="B11" s="21"/>
      <c r="C11" s="20" t="s">
        <v>850</v>
      </c>
      <c r="D11" s="20" t="s">
        <v>254</v>
      </c>
      <c r="E11" s="20">
        <v>3</v>
      </c>
    </row>
    <row r="12" spans="1:5" ht="13">
      <c r="B12" s="21"/>
      <c r="C12" s="20" t="s">
        <v>851</v>
      </c>
      <c r="D12" s="20" t="s">
        <v>254</v>
      </c>
      <c r="E12" s="20">
        <v>4</v>
      </c>
    </row>
    <row r="13" spans="1:5" ht="13">
      <c r="B13" s="21"/>
      <c r="C13" s="20" t="s">
        <v>852</v>
      </c>
      <c r="D13" s="20" t="s">
        <v>853</v>
      </c>
      <c r="E13" s="20" t="s">
        <v>854</v>
      </c>
    </row>
    <row r="14" spans="1:5" ht="13">
      <c r="B14" s="21"/>
      <c r="C14" s="20" t="s">
        <v>855</v>
      </c>
    </row>
    <row r="15" spans="1:5" ht="13">
      <c r="B15" s="21"/>
      <c r="C15" s="20" t="s">
        <v>856</v>
      </c>
    </row>
    <row r="16" spans="1:5" ht="13">
      <c r="B16" s="21"/>
      <c r="C16" s="25" t="s">
        <v>857</v>
      </c>
    </row>
    <row r="17" spans="3:4" ht="13">
      <c r="C17" s="20" t="s">
        <v>858</v>
      </c>
      <c r="D17" s="20" t="s">
        <v>859</v>
      </c>
    </row>
    <row r="18" spans="3:4" ht="13">
      <c r="C18" s="20" t="s">
        <v>860</v>
      </c>
      <c r="D18" s="20" t="s">
        <v>861</v>
      </c>
    </row>
    <row r="19" spans="3:4" ht="13"/>
    <row r="20" spans="3:4" ht="13">
      <c r="C20" t="s">
        <v>862</v>
      </c>
      <c r="D20" s="20" t="s">
        <v>863</v>
      </c>
    </row>
    <row r="21" spans="3:4" ht="13">
      <c r="C21" t="s">
        <v>864</v>
      </c>
      <c r="D21" s="20" t="s">
        <v>865</v>
      </c>
    </row>
  </sheetData>
  <mergeCells count="1">
    <mergeCell ref="C2:C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outlinePr summaryBelow="0" summaryRight="0"/>
  </sheetPr>
  <dimension ref="A1:O5"/>
  <sheetViews>
    <sheetView workbookViewId="0"/>
  </sheetViews>
  <sheetFormatPr baseColWidth="10" defaultColWidth="12.5" defaultRowHeight="15.75" customHeight="1"/>
  <sheetData>
    <row r="1" spans="1:15" ht="15.75" customHeight="1">
      <c r="A1" s="26" t="b">
        <v>0</v>
      </c>
      <c r="B1" s="338" t="s">
        <v>89</v>
      </c>
      <c r="C1" s="26" t="s">
        <v>330</v>
      </c>
      <c r="D1" s="26" t="s">
        <v>866</v>
      </c>
      <c r="E1" s="26" t="s">
        <v>867</v>
      </c>
      <c r="F1" s="26" t="s">
        <v>868</v>
      </c>
      <c r="G1" s="341" t="s">
        <v>676</v>
      </c>
      <c r="H1" s="27">
        <v>0.5</v>
      </c>
      <c r="I1" s="26"/>
      <c r="J1" s="26" t="s">
        <v>337</v>
      </c>
      <c r="K1" s="26" t="s">
        <v>338</v>
      </c>
      <c r="L1" s="26" t="s">
        <v>376</v>
      </c>
      <c r="M1" s="26" t="s">
        <v>340</v>
      </c>
      <c r="N1" s="342" t="s">
        <v>869</v>
      </c>
      <c r="O1" s="26" t="s">
        <v>329</v>
      </c>
    </row>
    <row r="2" spans="1:15" ht="15.75" customHeight="1">
      <c r="A2" s="26" t="b">
        <v>0</v>
      </c>
      <c r="B2" s="338" t="s">
        <v>89</v>
      </c>
      <c r="C2" s="26" t="s">
        <v>330</v>
      </c>
      <c r="D2" s="26" t="s">
        <v>870</v>
      </c>
      <c r="E2" s="26" t="s">
        <v>871</v>
      </c>
      <c r="F2" s="26" t="s">
        <v>872</v>
      </c>
      <c r="G2" s="341" t="s">
        <v>873</v>
      </c>
      <c r="H2" s="27">
        <v>0.5</v>
      </c>
      <c r="I2" s="26"/>
      <c r="J2" s="26" t="s">
        <v>337</v>
      </c>
      <c r="K2" s="26" t="s">
        <v>349</v>
      </c>
      <c r="L2" s="26" t="s">
        <v>350</v>
      </c>
      <c r="M2" s="26" t="s">
        <v>351</v>
      </c>
      <c r="N2" s="342" t="s">
        <v>874</v>
      </c>
      <c r="O2" s="26" t="s">
        <v>875</v>
      </c>
    </row>
    <row r="3" spans="1:15" ht="15.75" customHeight="1">
      <c r="A3" s="26" t="b">
        <v>1</v>
      </c>
      <c r="B3" s="338" t="s">
        <v>89</v>
      </c>
      <c r="C3" s="26" t="s">
        <v>330</v>
      </c>
      <c r="D3" s="26" t="s">
        <v>876</v>
      </c>
      <c r="E3" s="26" t="s">
        <v>877</v>
      </c>
      <c r="F3" s="26" t="s">
        <v>878</v>
      </c>
      <c r="G3" s="341" t="s">
        <v>879</v>
      </c>
      <c r="H3" s="27">
        <v>0.5</v>
      </c>
      <c r="I3" s="26"/>
      <c r="J3" s="26" t="s">
        <v>337</v>
      </c>
      <c r="K3" s="26" t="s">
        <v>349</v>
      </c>
      <c r="L3" s="26" t="s">
        <v>350</v>
      </c>
      <c r="M3" s="26" t="s">
        <v>360</v>
      </c>
      <c r="N3" s="342" t="s">
        <v>874</v>
      </c>
      <c r="O3" s="26" t="s">
        <v>880</v>
      </c>
    </row>
    <row r="4" spans="1:15" ht="15.75" customHeight="1">
      <c r="A4" s="26" t="b">
        <v>1</v>
      </c>
      <c r="B4" s="338" t="s">
        <v>89</v>
      </c>
      <c r="C4" s="26" t="s">
        <v>330</v>
      </c>
      <c r="D4" s="26" t="s">
        <v>881</v>
      </c>
      <c r="E4" s="26" t="s">
        <v>882</v>
      </c>
      <c r="F4" s="26" t="s">
        <v>883</v>
      </c>
      <c r="G4" s="341" t="s">
        <v>884</v>
      </c>
      <c r="H4" s="27">
        <v>0.5</v>
      </c>
      <c r="I4" s="26"/>
      <c r="J4" s="26" t="s">
        <v>337</v>
      </c>
      <c r="K4" s="26" t="s">
        <v>349</v>
      </c>
      <c r="L4" s="26" t="s">
        <v>350</v>
      </c>
      <c r="M4" s="26" t="s">
        <v>367</v>
      </c>
      <c r="N4" s="342" t="s">
        <v>874</v>
      </c>
      <c r="O4" s="26" t="s">
        <v>880</v>
      </c>
    </row>
    <row r="5" spans="1:15" ht="15.75" customHeight="1">
      <c r="A5" s="26" t="b">
        <v>0</v>
      </c>
      <c r="B5" s="338" t="s">
        <v>885</v>
      </c>
      <c r="C5" s="26" t="s">
        <v>473</v>
      </c>
      <c r="D5" s="26" t="s">
        <v>480</v>
      </c>
      <c r="E5" s="26" t="s">
        <v>481</v>
      </c>
      <c r="F5" s="26" t="s">
        <v>467</v>
      </c>
      <c r="G5" s="341" t="s">
        <v>396</v>
      </c>
      <c r="H5" s="26" t="s">
        <v>254</v>
      </c>
      <c r="I5" s="26" t="s">
        <v>886</v>
      </c>
      <c r="J5" s="26" t="s">
        <v>337</v>
      </c>
      <c r="K5" s="26" t="s">
        <v>338</v>
      </c>
      <c r="L5" s="26" t="s">
        <v>376</v>
      </c>
      <c r="M5" s="26"/>
      <c r="N5" s="26"/>
      <c r="O5" s="26" t="s">
        <v>329</v>
      </c>
    </row>
  </sheetData>
  <hyperlinks>
    <hyperlink ref="G1" r:id="rId1" xr:uid="{00000000-0004-0000-0900-000000000000}"/>
    <hyperlink ref="N1" r:id="rId2" xr:uid="{00000000-0004-0000-0900-000001000000}"/>
    <hyperlink ref="G2" r:id="rId3" xr:uid="{00000000-0004-0000-0900-000002000000}"/>
    <hyperlink ref="N2" r:id="rId4" location="/" xr:uid="{00000000-0004-0000-0900-000003000000}"/>
    <hyperlink ref="G3" r:id="rId5" xr:uid="{00000000-0004-0000-0900-000004000000}"/>
    <hyperlink ref="N3" r:id="rId6" location="/" xr:uid="{00000000-0004-0000-0900-000005000000}"/>
    <hyperlink ref="G4" r:id="rId7" xr:uid="{00000000-0004-0000-0900-000006000000}"/>
    <hyperlink ref="N4" r:id="rId8" location="/" xr:uid="{00000000-0004-0000-0900-000007000000}"/>
    <hyperlink ref="G5" r:id="rId9" xr:uid="{00000000-0004-0000-0900-000008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outlinePr summaryBelow="0" summaryRight="0"/>
  </sheetPr>
  <dimension ref="A1:O48"/>
  <sheetViews>
    <sheetView workbookViewId="0"/>
  </sheetViews>
  <sheetFormatPr baseColWidth="10" defaultColWidth="12.5" defaultRowHeight="15.75" customHeight="1"/>
  <cols>
    <col min="9" max="9" width="15.83203125" customWidth="1"/>
  </cols>
  <sheetData>
    <row r="1" spans="1:15" ht="15.75" customHeight="1">
      <c r="A1" s="448" t="s">
        <v>402</v>
      </c>
      <c r="B1" s="387"/>
      <c r="C1" s="387"/>
      <c r="D1" s="387"/>
      <c r="E1" s="387"/>
      <c r="F1" s="387"/>
      <c r="G1" s="387"/>
    </row>
    <row r="2" spans="1:15" ht="13">
      <c r="A2" s="28" t="s">
        <v>316</v>
      </c>
      <c r="B2" s="28" t="s">
        <v>887</v>
      </c>
      <c r="C2" s="28" t="s">
        <v>769</v>
      </c>
      <c r="D2" s="29"/>
      <c r="E2" s="29"/>
      <c r="F2" s="29"/>
      <c r="G2" s="29"/>
    </row>
    <row r="3" spans="1:15" ht="15.75" customHeight="1">
      <c r="A3" s="29" t="s">
        <v>888</v>
      </c>
      <c r="B3" s="30">
        <v>0.75</v>
      </c>
      <c r="C3" s="30">
        <v>1</v>
      </c>
      <c r="D3" s="29"/>
      <c r="E3" s="29"/>
      <c r="F3" s="29"/>
      <c r="G3" s="29"/>
    </row>
    <row r="4" spans="1:15" ht="15.75" customHeight="1">
      <c r="A4" s="29" t="s">
        <v>889</v>
      </c>
      <c r="B4" s="30">
        <v>0.25</v>
      </c>
      <c r="C4" s="30">
        <v>0.5</v>
      </c>
      <c r="D4" s="29"/>
      <c r="E4" s="29"/>
      <c r="F4" s="29"/>
      <c r="G4" s="29"/>
      <c r="I4" s="20" t="s">
        <v>890</v>
      </c>
    </row>
    <row r="5" spans="1:15" ht="15.75" customHeight="1">
      <c r="A5" s="29" t="s">
        <v>891</v>
      </c>
      <c r="B5" s="30">
        <v>0.3</v>
      </c>
      <c r="C5" s="30">
        <v>0.4</v>
      </c>
      <c r="D5" s="29"/>
      <c r="E5" s="29"/>
      <c r="F5" s="29"/>
      <c r="G5" s="29"/>
      <c r="I5" s="29" t="s">
        <v>892</v>
      </c>
      <c r="J5" s="29" t="s">
        <v>893</v>
      </c>
      <c r="K5" s="29"/>
    </row>
    <row r="6" spans="1:15" ht="15.75" customHeight="1">
      <c r="A6" s="29" t="s">
        <v>894</v>
      </c>
      <c r="B6" s="31">
        <v>0.2</v>
      </c>
      <c r="C6" s="31">
        <v>0.5</v>
      </c>
      <c r="D6" s="29"/>
      <c r="E6" s="29"/>
      <c r="F6" s="29"/>
      <c r="G6" s="29"/>
      <c r="I6" s="32">
        <v>10</v>
      </c>
      <c r="J6" s="32">
        <v>5</v>
      </c>
      <c r="K6" s="30">
        <f>J6/I6</f>
        <v>0.5</v>
      </c>
    </row>
    <row r="7" spans="1:15" ht="15.75" customHeight="1">
      <c r="A7" s="29" t="s">
        <v>895</v>
      </c>
      <c r="B7" s="31">
        <v>0.3</v>
      </c>
      <c r="C7" s="31">
        <v>0.5</v>
      </c>
      <c r="D7" s="29"/>
      <c r="E7" s="29"/>
      <c r="F7" s="29"/>
      <c r="G7" s="29"/>
    </row>
    <row r="8" spans="1:15" ht="15.75" customHeight="1">
      <c r="A8" s="29"/>
      <c r="B8" s="29"/>
      <c r="C8" s="29"/>
      <c r="D8" s="29"/>
      <c r="E8" s="29"/>
      <c r="F8" s="29"/>
      <c r="G8" s="29"/>
    </row>
    <row r="9" spans="1:15" ht="15.75" customHeight="1">
      <c r="A9" s="29"/>
      <c r="B9" s="29"/>
      <c r="C9" s="29"/>
      <c r="D9" s="29"/>
      <c r="E9" s="29"/>
      <c r="F9" s="29"/>
      <c r="G9" s="29"/>
    </row>
    <row r="10" spans="1:15" ht="15.75" customHeight="1">
      <c r="A10" s="449" t="s">
        <v>411</v>
      </c>
      <c r="B10" s="387"/>
      <c r="C10" s="387"/>
      <c r="D10" s="387"/>
      <c r="E10" s="387"/>
      <c r="F10" s="387"/>
      <c r="G10" s="387"/>
      <c r="I10" s="450" t="s">
        <v>896</v>
      </c>
      <c r="J10" s="387"/>
      <c r="K10" s="387"/>
      <c r="L10" s="387"/>
      <c r="M10" s="387"/>
      <c r="N10" s="387"/>
      <c r="O10" s="387"/>
    </row>
    <row r="11" spans="1:15" ht="14">
      <c r="A11" s="28" t="s">
        <v>316</v>
      </c>
      <c r="B11" s="28" t="s">
        <v>887</v>
      </c>
      <c r="C11" s="28" t="s">
        <v>769</v>
      </c>
      <c r="D11" s="29"/>
      <c r="E11" s="29"/>
      <c r="F11" s="29"/>
      <c r="G11" s="29"/>
      <c r="I11" s="33" t="s">
        <v>897</v>
      </c>
      <c r="J11" s="33" t="s">
        <v>117</v>
      </c>
      <c r="K11" s="33" t="s">
        <v>898</v>
      </c>
      <c r="L11" s="33" t="s">
        <v>899</v>
      </c>
      <c r="M11" s="33" t="s">
        <v>900</v>
      </c>
      <c r="N11" s="33" t="s">
        <v>901</v>
      </c>
      <c r="O11" s="18" t="s">
        <v>902</v>
      </c>
    </row>
    <row r="12" spans="1:15" ht="14">
      <c r="A12" s="20" t="s">
        <v>903</v>
      </c>
      <c r="I12" s="15" t="s">
        <v>904</v>
      </c>
      <c r="J12" s="20" t="s">
        <v>905</v>
      </c>
      <c r="K12" s="34">
        <v>70000</v>
      </c>
    </row>
    <row r="13" spans="1:15" ht="15.75" customHeight="1">
      <c r="A13" s="20" t="s">
        <v>906</v>
      </c>
      <c r="I13" s="20" t="s">
        <v>907</v>
      </c>
      <c r="J13" s="20" t="s">
        <v>908</v>
      </c>
      <c r="K13" s="34">
        <v>100000</v>
      </c>
    </row>
    <row r="14" spans="1:15" ht="14">
      <c r="A14" s="20" t="s">
        <v>909</v>
      </c>
      <c r="I14" s="20" t="s">
        <v>910</v>
      </c>
      <c r="J14" s="15" t="s">
        <v>908</v>
      </c>
      <c r="K14" s="34">
        <v>35000</v>
      </c>
    </row>
    <row r="15" spans="1:15" ht="14">
      <c r="I15" s="20" t="s">
        <v>911</v>
      </c>
      <c r="J15" s="15" t="s">
        <v>908</v>
      </c>
      <c r="K15" s="34">
        <v>500000</v>
      </c>
    </row>
    <row r="16" spans="1:15" ht="15.75" customHeight="1">
      <c r="I16" s="20" t="s">
        <v>912</v>
      </c>
      <c r="J16" s="20" t="s">
        <v>908</v>
      </c>
      <c r="K16" s="34">
        <v>45000</v>
      </c>
    </row>
    <row r="17" spans="1:11" ht="15.75" customHeight="1">
      <c r="I17" s="20" t="s">
        <v>913</v>
      </c>
      <c r="J17" s="20" t="s">
        <v>908</v>
      </c>
      <c r="K17" s="34">
        <v>100000</v>
      </c>
    </row>
    <row r="18" spans="1:11" ht="15.75" customHeight="1">
      <c r="I18" s="20" t="s">
        <v>914</v>
      </c>
      <c r="J18" s="20" t="s">
        <v>908</v>
      </c>
      <c r="K18" s="34">
        <v>80000</v>
      </c>
    </row>
    <row r="20" spans="1:11" ht="16">
      <c r="A20" s="451" t="s">
        <v>421</v>
      </c>
      <c r="B20" s="387"/>
      <c r="C20" s="387"/>
      <c r="D20" s="387"/>
      <c r="E20" s="387"/>
      <c r="F20" s="387"/>
      <c r="G20" s="387"/>
    </row>
    <row r="21" spans="1:11" ht="13">
      <c r="A21" s="28" t="s">
        <v>316</v>
      </c>
      <c r="B21" s="28" t="s">
        <v>887</v>
      </c>
      <c r="C21" s="28" t="s">
        <v>769</v>
      </c>
    </row>
    <row r="22" spans="1:11" ht="13">
      <c r="A22" s="20" t="s">
        <v>915</v>
      </c>
      <c r="B22" s="35">
        <v>0.6</v>
      </c>
      <c r="C22" s="20" t="s">
        <v>916</v>
      </c>
    </row>
    <row r="23" spans="1:11" ht="13">
      <c r="A23" s="20" t="s">
        <v>917</v>
      </c>
      <c r="B23" s="35">
        <v>0.11</v>
      </c>
      <c r="C23" s="20" t="s">
        <v>918</v>
      </c>
    </row>
    <row r="24" spans="1:11" ht="13">
      <c r="A24" s="20" t="s">
        <v>919</v>
      </c>
      <c r="C24" s="20" t="s">
        <v>920</v>
      </c>
    </row>
    <row r="31" spans="1:11" ht="16">
      <c r="A31" s="452" t="s">
        <v>436</v>
      </c>
      <c r="B31" s="387"/>
      <c r="C31" s="387"/>
      <c r="D31" s="387"/>
      <c r="E31" s="387"/>
      <c r="F31" s="387"/>
      <c r="G31" s="387"/>
    </row>
    <row r="32" spans="1:11" ht="13">
      <c r="A32" s="28" t="s">
        <v>316</v>
      </c>
      <c r="B32" s="28" t="s">
        <v>887</v>
      </c>
      <c r="C32" s="28" t="s">
        <v>769</v>
      </c>
    </row>
    <row r="40" spans="1:14" ht="17">
      <c r="A40" s="446" t="s">
        <v>921</v>
      </c>
      <c r="B40" s="387"/>
      <c r="C40" s="387"/>
      <c r="D40" s="387"/>
      <c r="E40" s="387"/>
      <c r="F40" s="387"/>
      <c r="G40" s="387"/>
      <c r="I40" s="447" t="s">
        <v>921</v>
      </c>
      <c r="J40" s="387"/>
      <c r="K40" s="387"/>
      <c r="L40" s="387"/>
      <c r="M40" s="387"/>
      <c r="N40" s="387"/>
    </row>
    <row r="41" spans="1:14" ht="13">
      <c r="A41" s="28" t="s">
        <v>316</v>
      </c>
      <c r="B41" s="28" t="s">
        <v>887</v>
      </c>
      <c r="C41" s="28" t="s">
        <v>769</v>
      </c>
      <c r="I41" s="36" t="s">
        <v>922</v>
      </c>
      <c r="J41" s="36" t="s">
        <v>117</v>
      </c>
      <c r="K41" s="36" t="s">
        <v>923</v>
      </c>
      <c r="L41" s="36" t="s">
        <v>924</v>
      </c>
      <c r="M41" s="36" t="s">
        <v>925</v>
      </c>
      <c r="N41" s="36" t="s">
        <v>926</v>
      </c>
    </row>
    <row r="42" spans="1:14" ht="13">
      <c r="A42" s="20" t="s">
        <v>927</v>
      </c>
      <c r="B42" s="35">
        <v>0.7</v>
      </c>
      <c r="C42" s="35">
        <v>0.5</v>
      </c>
      <c r="I42" s="20" t="s">
        <v>928</v>
      </c>
      <c r="J42" s="20" t="s">
        <v>905</v>
      </c>
      <c r="K42" s="34">
        <v>2500</v>
      </c>
    </row>
    <row r="43" spans="1:14" ht="13">
      <c r="A43" s="20" t="s">
        <v>929</v>
      </c>
      <c r="B43" s="35">
        <v>0.3</v>
      </c>
      <c r="C43" s="35">
        <v>0.5</v>
      </c>
      <c r="I43" s="20" t="s">
        <v>907</v>
      </c>
      <c r="J43" s="20" t="s">
        <v>908</v>
      </c>
      <c r="K43" s="34">
        <v>5000</v>
      </c>
    </row>
    <row r="44" spans="1:14" ht="13">
      <c r="A44" s="20" t="s">
        <v>930</v>
      </c>
      <c r="B44" s="35">
        <f>B43/B42</f>
        <v>0.4285714285714286</v>
      </c>
      <c r="C44" s="35">
        <v>0.5</v>
      </c>
      <c r="I44" s="20" t="s">
        <v>910</v>
      </c>
      <c r="J44" s="20" t="s">
        <v>908</v>
      </c>
      <c r="K44" s="34">
        <v>4700</v>
      </c>
    </row>
    <row r="45" spans="1:14" ht="13">
      <c r="A45" s="20" t="s">
        <v>931</v>
      </c>
      <c r="C45" s="35">
        <v>0.5</v>
      </c>
      <c r="I45" s="20" t="s">
        <v>912</v>
      </c>
      <c r="J45" s="20" t="s">
        <v>908</v>
      </c>
      <c r="K45" s="34">
        <v>4000</v>
      </c>
    </row>
    <row r="46" spans="1:14" ht="13">
      <c r="A46" s="20" t="s">
        <v>932</v>
      </c>
      <c r="C46" s="20">
        <v>4</v>
      </c>
      <c r="I46" s="20" t="s">
        <v>914</v>
      </c>
      <c r="J46" s="20" t="s">
        <v>908</v>
      </c>
      <c r="K46" s="34">
        <v>6000</v>
      </c>
    </row>
    <row r="47" spans="1:14" ht="13">
      <c r="I47" s="20" t="s">
        <v>913</v>
      </c>
      <c r="J47" s="20" t="s">
        <v>908</v>
      </c>
      <c r="K47" s="34">
        <v>3500</v>
      </c>
    </row>
    <row r="48" spans="1:14" ht="13">
      <c r="I48" s="20" t="s">
        <v>911</v>
      </c>
      <c r="J48" s="20" t="s">
        <v>908</v>
      </c>
      <c r="K48" s="34">
        <v>15000</v>
      </c>
    </row>
  </sheetData>
  <mergeCells count="7">
    <mergeCell ref="A40:G40"/>
    <mergeCell ref="I40:N40"/>
    <mergeCell ref="A1:G1"/>
    <mergeCell ref="A10:G10"/>
    <mergeCell ref="I10:O10"/>
    <mergeCell ref="A20:G20"/>
    <mergeCell ref="A31:G3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7">
    <outlinePr summaryBelow="0" summaryRight="0"/>
  </sheetPr>
  <dimension ref="A1:B4"/>
  <sheetViews>
    <sheetView showGridLines="0" workbookViewId="0"/>
  </sheetViews>
  <sheetFormatPr baseColWidth="10" defaultColWidth="12.5" defaultRowHeight="15.75" customHeight="1"/>
  <sheetData>
    <row r="1" spans="1:2" ht="15.75" customHeight="1">
      <c r="A1" s="38" t="s">
        <v>117</v>
      </c>
      <c r="B1" s="44" t="s">
        <v>933</v>
      </c>
    </row>
    <row r="2" spans="1:2" ht="15.75" customHeight="1">
      <c r="A2" s="37" t="s">
        <v>908</v>
      </c>
      <c r="B2" s="44">
        <v>6</v>
      </c>
    </row>
    <row r="3" spans="1:2" ht="15.75" customHeight="1">
      <c r="A3" s="45" t="s">
        <v>905</v>
      </c>
      <c r="B3" s="105">
        <v>1</v>
      </c>
    </row>
    <row r="4" spans="1:2" ht="15.75" customHeight="1">
      <c r="A4" s="46" t="s">
        <v>934</v>
      </c>
      <c r="B4" s="43">
        <v>7</v>
      </c>
    </row>
  </sheetData>
  <pageMargins left="0.7" right="0.7" top="0.75" bottom="0.75" header="0.3" footer="0.3"/>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8">
    <outlinePr summaryBelow="0" summaryRight="0"/>
  </sheetPr>
  <dimension ref="A1:C7"/>
  <sheetViews>
    <sheetView showGridLines="0" workbookViewId="0"/>
  </sheetViews>
  <sheetFormatPr baseColWidth="10" defaultColWidth="12.5" defaultRowHeight="15.75" customHeight="1"/>
  <sheetData>
    <row r="1" spans="1:3" ht="15.75" customHeight="1">
      <c r="A1" s="42" t="s">
        <v>923</v>
      </c>
      <c r="B1" s="43" t="s">
        <v>935</v>
      </c>
    </row>
    <row r="2" spans="1:3" ht="15.75" customHeight="1">
      <c r="A2" s="42" t="s">
        <v>922</v>
      </c>
      <c r="B2" s="43" t="s">
        <v>935</v>
      </c>
    </row>
    <row r="4" spans="1:3" ht="15.75" customHeight="1">
      <c r="A4" s="37"/>
      <c r="B4" s="38" t="s">
        <v>936</v>
      </c>
      <c r="C4" s="39"/>
    </row>
    <row r="5" spans="1:3" ht="15.75" customHeight="1">
      <c r="A5" s="38" t="s">
        <v>117</v>
      </c>
      <c r="B5" s="37" t="s">
        <v>274</v>
      </c>
      <c r="C5" s="40" t="s">
        <v>937</v>
      </c>
    </row>
    <row r="6" spans="1:3" ht="15.75" customHeight="1">
      <c r="A6" s="37" t="s">
        <v>908</v>
      </c>
      <c r="B6" s="37">
        <v>6</v>
      </c>
      <c r="C6" s="40">
        <v>6366.666666666667</v>
      </c>
    </row>
    <row r="7" spans="1:3" ht="15.75" customHeight="1">
      <c r="A7" s="41" t="s">
        <v>905</v>
      </c>
      <c r="B7" s="41">
        <v>1</v>
      </c>
      <c r="C7" s="106">
        <v>2500</v>
      </c>
    </row>
  </sheetData>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2ca258c-748f-493b-b298-cba3bc35f889" xsi:nil="true"/>
    <lcf76f155ced4ddcb4097134ff3c332f xmlns="76ece49c-bdb3-43bd-ad0a-50439f1d920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3A8C296E52B524EAEB973E546D0EB38" ma:contentTypeVersion="19" ma:contentTypeDescription="Create a new document." ma:contentTypeScope="" ma:versionID="4a4a2fe77140bdc885b798285a72aa10">
  <xsd:schema xmlns:xsd="http://www.w3.org/2001/XMLSchema" xmlns:xs="http://www.w3.org/2001/XMLSchema" xmlns:p="http://schemas.microsoft.com/office/2006/metadata/properties" xmlns:ns2="76ece49c-bdb3-43bd-ad0a-50439f1d9208" xmlns:ns3="62ca258c-748f-493b-b298-cba3bc35f889" targetNamespace="http://schemas.microsoft.com/office/2006/metadata/properties" ma:root="true" ma:fieldsID="243a3e741057883509d0ded69c8eca88" ns2:_="" ns3:_="">
    <xsd:import namespace="76ece49c-bdb3-43bd-ad0a-50439f1d9208"/>
    <xsd:import namespace="62ca258c-748f-493b-b298-cba3bc35f88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ce49c-bdb3-43bd-ad0a-50439f1d92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5c8c133-98b6-4339-847b-532911136d5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ca258c-748f-493b-b298-cba3bc35f88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82bda01-040b-4897-b897-0108b198e243}" ma:internalName="TaxCatchAll" ma:showField="CatchAllData" ma:web="62ca258c-748f-493b-b298-cba3bc35f8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A55822-C12D-4556-8749-14085B1A9AFE}">
  <ds:schemaRefs>
    <ds:schemaRef ds:uri="http://schemas.microsoft.com/office/2006/metadata/properties"/>
    <ds:schemaRef ds:uri="http://schemas.microsoft.com/office/infopath/2007/PartnerControls"/>
    <ds:schemaRef ds:uri="62ca258c-748f-493b-b298-cba3bc35f889"/>
    <ds:schemaRef ds:uri="76ece49c-bdb3-43bd-ad0a-50439f1d9208"/>
  </ds:schemaRefs>
</ds:datastoreItem>
</file>

<file path=customXml/itemProps2.xml><?xml version="1.0" encoding="utf-8"?>
<ds:datastoreItem xmlns:ds="http://schemas.openxmlformats.org/officeDocument/2006/customXml" ds:itemID="{8AAEF4F6-B8A5-4B18-9F3F-BFF104FA30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ce49c-bdb3-43bd-ad0a-50439f1d9208"/>
    <ds:schemaRef ds:uri="62ca258c-748f-493b-b298-cba3bc35f8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214362-3E65-4BC8-BDE1-FB38C681B5D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Arbeitsblätter</vt:lpstr>
      </vt:variant>
      <vt:variant>
        <vt:i4>20</vt:i4>
      </vt:variant>
      <vt:variant>
        <vt:lpstr>Benannte Bereiche</vt:lpstr>
      </vt:variant>
      <vt:variant>
        <vt:i4>5</vt:i4>
      </vt:variant>
    </vt:vector>
  </HeadingPairs>
  <TitlesOfParts>
    <vt:vector size="25" baseType="lpstr">
      <vt:lpstr>Process Overview</vt:lpstr>
      <vt:lpstr>Instructions</vt:lpstr>
      <vt:lpstr>Self-Assessment </vt:lpstr>
      <vt:lpstr>HR Database (optional)</vt:lpstr>
      <vt:lpstr>Inputs (optional)</vt:lpstr>
      <vt:lpstr>Guide</vt:lpstr>
      <vt:lpstr>Key Gender Metrics</vt:lpstr>
      <vt:lpstr>Guide </vt:lpstr>
      <vt:lpstr>Dashboard</vt:lpstr>
      <vt:lpstr>Progress Tracker</vt:lpstr>
      <vt:lpstr>Assumptions &amp; Classifications</vt:lpstr>
      <vt:lpstr>Glossary</vt:lpstr>
      <vt:lpstr>List</vt:lpstr>
      <vt:lpstr>Gender Responsive Implementer</vt:lpstr>
      <vt:lpstr>Internal Data</vt:lpstr>
      <vt:lpstr>Brainstorming</vt:lpstr>
      <vt:lpstr>On Hold</vt:lpstr>
      <vt:lpstr>Alternative Data Collection</vt:lpstr>
      <vt:lpstr>Pivot Table 3</vt:lpstr>
      <vt:lpstr>Pivot Table 2</vt:lpstr>
      <vt:lpstr>Dashboard!Druckbereich</vt:lpstr>
      <vt:lpstr>Guide!Druckbereich</vt:lpstr>
      <vt:lpstr>'Guide '!Druckbereich</vt:lpstr>
      <vt:lpstr>'Inputs (optional)'!Druckbereich</vt:lpstr>
      <vt:lpstr>MetricsTable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Fatima Shamsi</dc:creator>
  <cp:keywords/>
  <dc:description/>
  <cp:lastModifiedBy>Fanina</cp:lastModifiedBy>
  <cp:revision/>
  <dcterms:created xsi:type="dcterms:W3CDTF">2025-05-12T07:14:26Z</dcterms:created>
  <dcterms:modified xsi:type="dcterms:W3CDTF">2026-10-26T08:04:38Z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0x010100C3A8C296E52B524EAEB973E546D0EB38</vt:lpwstr>
  </property>
  <property fmtid="{D5CDD505-2E9C-101B-9397-08002B2CF9AE}" pid="3" name="MediaServiceImageTags">
    <vt:lpwstr/>
  </property>
</Properties>
</file>